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2"/>
  <workbookPr/>
  <mc:AlternateContent xmlns:mc="http://schemas.openxmlformats.org/markup-compatibility/2006">
    <mc:Choice Requires="x15">
      <x15ac:absPath xmlns:x15ac="http://schemas.microsoft.com/office/spreadsheetml/2010/11/ac" url="/Users/danielchen/Downloads/"/>
    </mc:Choice>
  </mc:AlternateContent>
  <xr:revisionPtr revIDLastSave="0" documentId="13_ncr:1_{3B931743-F32C-994B-8E6E-732A58474CA7}" xr6:coauthVersionLast="47" xr6:coauthVersionMax="47" xr10:uidLastSave="{00000000-0000-0000-0000-000000000000}"/>
  <bookViews>
    <workbookView xWindow="0" yWindow="660" windowWidth="29400" windowHeight="16980" tabRatio="500" xr2:uid="{00000000-000D-0000-FFFF-FFFF00000000}"/>
  </bookViews>
  <sheets>
    <sheet name="Cover" sheetId="1" r:id="rId1"/>
    <sheet name="NAV Summary" sheetId="2" r:id="rId2"/>
    <sheet name="Assumptions &amp; Sources" sheetId="3" r:id="rId3"/>
    <sheet name="NAV Model 1P" sheetId="4" r:id="rId4"/>
    <sheet name="NAV Model 2P" sheetId="5" r:id="rId5"/>
    <sheet name="Sensitivities 1P" sheetId="6" r:id="rId6"/>
    <sheet name="Sensitivities 2P" sheetId="7" r:id="rId7"/>
    <sheet name="Model Inputs" sheetId="8" r:id="rId8"/>
    <sheet name="Reserves Data" sheetId="9" r:id="rId9"/>
    <sheet name="Cost Data" sheetId="10" r:id="rId10"/>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0" i="9" l="1"/>
  <c r="C107" i="9"/>
  <c r="B107" i="9"/>
  <c r="C106" i="9"/>
  <c r="B106" i="9"/>
  <c r="C96" i="9"/>
  <c r="B96" i="9"/>
  <c r="E96" i="9" s="1"/>
  <c r="C95" i="9"/>
  <c r="B95" i="9"/>
  <c r="E95" i="9" s="1"/>
  <c r="C94" i="9"/>
  <c r="C97" i="9" s="1"/>
  <c r="B94" i="9"/>
  <c r="B97" i="9" s="1"/>
  <c r="C84" i="9"/>
  <c r="B84" i="9"/>
  <c r="C83" i="9"/>
  <c r="B83" i="9"/>
  <c r="C82" i="9"/>
  <c r="C85" i="9" s="1"/>
  <c r="B82" i="9"/>
  <c r="B85" i="9" s="1"/>
  <c r="B75" i="9"/>
  <c r="B74" i="9"/>
  <c r="E270" i="8"/>
  <c r="C270" i="8"/>
  <c r="B259" i="8"/>
  <c r="B252" i="8"/>
  <c r="E248" i="8"/>
  <c r="F248" i="8" s="1"/>
  <c r="E247" i="8"/>
  <c r="F247" i="8" s="1"/>
  <c r="E246" i="8"/>
  <c r="F246" i="8" s="1"/>
  <c r="B193" i="8"/>
  <c r="B215" i="8" s="1"/>
  <c r="C14" i="1" s="1"/>
  <c r="B176" i="8"/>
  <c r="B165" i="8"/>
  <c r="B163" i="8"/>
  <c r="B162" i="8"/>
  <c r="B161" i="8"/>
  <c r="B160" i="8"/>
  <c r="B159" i="8"/>
  <c r="B158" i="8"/>
  <c r="B155" i="8"/>
  <c r="B164" i="8" s="1"/>
  <c r="G154" i="8"/>
  <c r="F154" i="8"/>
  <c r="E154" i="8"/>
  <c r="D154" i="8"/>
  <c r="C154" i="8"/>
  <c r="B154" i="8"/>
  <c r="E149" i="8"/>
  <c r="AH32" i="5" s="1"/>
  <c r="D149" i="8"/>
  <c r="B149" i="8"/>
  <c r="E148" i="8"/>
  <c r="F148" i="8" s="1"/>
  <c r="D148" i="8"/>
  <c r="B148" i="8"/>
  <c r="E147" i="8"/>
  <c r="F147" i="8" s="1"/>
  <c r="D147" i="8"/>
  <c r="B147" i="8"/>
  <c r="B143" i="8"/>
  <c r="E143" i="8" s="1"/>
  <c r="F142" i="8"/>
  <c r="AS34" i="5" s="1"/>
  <c r="E142" i="8"/>
  <c r="F141" i="8"/>
  <c r="E141" i="8"/>
  <c r="F140" i="8"/>
  <c r="E140" i="8"/>
  <c r="F139" i="8"/>
  <c r="E139" i="8"/>
  <c r="F138" i="8"/>
  <c r="E138" i="8"/>
  <c r="F137" i="8"/>
  <c r="E137" i="8"/>
  <c r="F136" i="8"/>
  <c r="BM28" i="5" s="1"/>
  <c r="E136" i="8"/>
  <c r="F135" i="8"/>
  <c r="E135" i="8"/>
  <c r="B124" i="8"/>
  <c r="B122" i="8"/>
  <c r="B174" i="8" s="1"/>
  <c r="B116" i="8"/>
  <c r="G108" i="8"/>
  <c r="B110" i="8" s="1"/>
  <c r="B102" i="8"/>
  <c r="B104" i="8" s="1"/>
  <c r="B95" i="8"/>
  <c r="B94" i="8"/>
  <c r="B93" i="8"/>
  <c r="B92" i="8"/>
  <c r="B91" i="8"/>
  <c r="B90" i="8"/>
  <c r="B89" i="8"/>
  <c r="B88" i="8"/>
  <c r="B11" i="8" s="1"/>
  <c r="B126" i="8" s="1"/>
  <c r="B85" i="8"/>
  <c r="G84" i="8"/>
  <c r="F84" i="8"/>
  <c r="E84" i="8"/>
  <c r="D84" i="8"/>
  <c r="C84" i="8"/>
  <c r="B84" i="8"/>
  <c r="D80" i="8"/>
  <c r="D79" i="8"/>
  <c r="D78" i="8"/>
  <c r="D77" i="8"/>
  <c r="D76" i="8"/>
  <c r="D75" i="8"/>
  <c r="D74" i="8"/>
  <c r="D73" i="8"/>
  <c r="D68" i="8"/>
  <c r="D67" i="8"/>
  <c r="D66" i="8"/>
  <c r="D65" i="8"/>
  <c r="D64" i="8"/>
  <c r="D63" i="8"/>
  <c r="D62" i="8"/>
  <c r="D61" i="8"/>
  <c r="B57" i="8"/>
  <c r="E68" i="8" s="1"/>
  <c r="F68" i="8" s="1"/>
  <c r="B53" i="8"/>
  <c r="E65" i="8" s="1"/>
  <c r="B51" i="8"/>
  <c r="B36" i="8"/>
  <c r="E36" i="8" s="1"/>
  <c r="F36" i="8" s="1"/>
  <c r="B35" i="8"/>
  <c r="E35" i="8" s="1"/>
  <c r="C34" i="8"/>
  <c r="B34" i="8"/>
  <c r="E34" i="8" s="1"/>
  <c r="E29" i="8"/>
  <c r="B29" i="8"/>
  <c r="F28" i="8"/>
  <c r="E28" i="8"/>
  <c r="F27" i="8"/>
  <c r="E27" i="8"/>
  <c r="F26" i="8"/>
  <c r="E26" i="8"/>
  <c r="F25" i="8"/>
  <c r="E25" i="8"/>
  <c r="F24" i="8"/>
  <c r="E24" i="8"/>
  <c r="F23" i="8"/>
  <c r="E23" i="8"/>
  <c r="F22" i="8"/>
  <c r="E22" i="8"/>
  <c r="F21" i="8"/>
  <c r="E21" i="8"/>
  <c r="B116" i="7"/>
  <c r="B100" i="7"/>
  <c r="B84" i="7"/>
  <c r="B68" i="7"/>
  <c r="B52" i="7"/>
  <c r="B36" i="7"/>
  <c r="D26" i="2" s="1"/>
  <c r="B5" i="7"/>
  <c r="B116" i="6"/>
  <c r="B100" i="6"/>
  <c r="B84" i="6"/>
  <c r="B68" i="6"/>
  <c r="B52" i="6"/>
  <c r="B36" i="6"/>
  <c r="C26" i="2" s="1"/>
  <c r="B5" i="6"/>
  <c r="C125" i="5"/>
  <c r="B113" i="5"/>
  <c r="B111" i="5"/>
  <c r="B110" i="5"/>
  <c r="B108" i="5"/>
  <c r="D13" i="2" s="1"/>
  <c r="B107" i="5"/>
  <c r="B105" i="5"/>
  <c r="B104" i="5"/>
  <c r="D9" i="2" s="1"/>
  <c r="E100" i="5"/>
  <c r="C42" i="3" s="1"/>
  <c r="C100" i="5"/>
  <c r="C99" i="5"/>
  <c r="C98" i="5"/>
  <c r="C97" i="5"/>
  <c r="C96" i="5"/>
  <c r="C95" i="5"/>
  <c r="C94" i="5"/>
  <c r="C93" i="5"/>
  <c r="C92" i="5"/>
  <c r="C91" i="5"/>
  <c r="B89" i="5"/>
  <c r="E89" i="5" s="1"/>
  <c r="G79" i="5"/>
  <c r="G126" i="5" s="1"/>
  <c r="F79" i="5"/>
  <c r="F126" i="5" s="1"/>
  <c r="E79" i="5"/>
  <c r="E126" i="5" s="1"/>
  <c r="D79" i="5"/>
  <c r="D126" i="5" s="1"/>
  <c r="C79" i="5"/>
  <c r="C126" i="5" s="1"/>
  <c r="C127" i="5" s="1"/>
  <c r="B66" i="5"/>
  <c r="C64" i="5"/>
  <c r="D64" i="5" s="1"/>
  <c r="E64" i="5" s="1"/>
  <c r="F64" i="5" s="1"/>
  <c r="G64" i="5" s="1"/>
  <c r="H64" i="5" s="1"/>
  <c r="I64" i="5" s="1"/>
  <c r="J64" i="5" s="1"/>
  <c r="K64" i="5" s="1"/>
  <c r="L64" i="5" s="1"/>
  <c r="M64" i="5" s="1"/>
  <c r="N64" i="5" s="1"/>
  <c r="O64" i="5" s="1"/>
  <c r="P64" i="5" s="1"/>
  <c r="Q64" i="5" s="1"/>
  <c r="R64" i="5" s="1"/>
  <c r="S64" i="5" s="1"/>
  <c r="T64" i="5" s="1"/>
  <c r="U64" i="5" s="1"/>
  <c r="V64" i="5" s="1"/>
  <c r="W64" i="5" s="1"/>
  <c r="X64" i="5" s="1"/>
  <c r="Y64" i="5" s="1"/>
  <c r="Z64" i="5" s="1"/>
  <c r="AA64" i="5" s="1"/>
  <c r="AB64" i="5" s="1"/>
  <c r="AC64" i="5" s="1"/>
  <c r="AD64" i="5" s="1"/>
  <c r="AE64" i="5" s="1"/>
  <c r="AF64" i="5" s="1"/>
  <c r="AG64" i="5" s="1"/>
  <c r="AH64" i="5" s="1"/>
  <c r="AI64" i="5" s="1"/>
  <c r="AJ64" i="5" s="1"/>
  <c r="AK64" i="5" s="1"/>
  <c r="AL64" i="5" s="1"/>
  <c r="AM64" i="5" s="1"/>
  <c r="AN64" i="5" s="1"/>
  <c r="AO64" i="5" s="1"/>
  <c r="AP64" i="5" s="1"/>
  <c r="AQ64" i="5" s="1"/>
  <c r="AR64" i="5" s="1"/>
  <c r="AS64" i="5" s="1"/>
  <c r="AT64" i="5" s="1"/>
  <c r="AU64" i="5" s="1"/>
  <c r="AV64" i="5" s="1"/>
  <c r="AW64" i="5" s="1"/>
  <c r="AX64" i="5" s="1"/>
  <c r="AY64" i="5" s="1"/>
  <c r="AZ64" i="5" s="1"/>
  <c r="BA64" i="5" s="1"/>
  <c r="BB64" i="5" s="1"/>
  <c r="BC64" i="5" s="1"/>
  <c r="BD64" i="5" s="1"/>
  <c r="BE64" i="5" s="1"/>
  <c r="BF64" i="5" s="1"/>
  <c r="BG64" i="5" s="1"/>
  <c r="BH64" i="5" s="1"/>
  <c r="BI64" i="5" s="1"/>
  <c r="BJ64" i="5" s="1"/>
  <c r="BK64" i="5" s="1"/>
  <c r="BL64" i="5" s="1"/>
  <c r="BM64" i="5" s="1"/>
  <c r="BN64" i="5" s="1"/>
  <c r="BO64" i="5" s="1"/>
  <c r="B52" i="5"/>
  <c r="F34" i="5"/>
  <c r="BE33" i="5"/>
  <c r="O33" i="5"/>
  <c r="AB30" i="5"/>
  <c r="BE29" i="5"/>
  <c r="AO29" i="5"/>
  <c r="AO69" i="5" s="1"/>
  <c r="M29" i="5"/>
  <c r="BJ28" i="5"/>
  <c r="BJ68" i="5" s="1"/>
  <c r="BI28" i="5"/>
  <c r="BG28" i="5"/>
  <c r="AZ28" i="5"/>
  <c r="AY28" i="5"/>
  <c r="AT28" i="5"/>
  <c r="AP28" i="5"/>
  <c r="AP68" i="5" s="1"/>
  <c r="AM28" i="5"/>
  <c r="AK28" i="5"/>
  <c r="AD28" i="5"/>
  <c r="AC28" i="5"/>
  <c r="Z28" i="5"/>
  <c r="T28" i="5"/>
  <c r="S28" i="5"/>
  <c r="O28" i="5"/>
  <c r="J28" i="5"/>
  <c r="G28" i="5"/>
  <c r="D28" i="5"/>
  <c r="BK27" i="5"/>
  <c r="U27" i="5"/>
  <c r="C27" i="5"/>
  <c r="G10" i="5"/>
  <c r="H10" i="5" s="1"/>
  <c r="I10" i="5" s="1"/>
  <c r="J10" i="5" s="1"/>
  <c r="K10" i="5" s="1"/>
  <c r="L10" i="5" s="1"/>
  <c r="M10" i="5" s="1"/>
  <c r="N10" i="5" s="1"/>
  <c r="O10" i="5" s="1"/>
  <c r="P10" i="5" s="1"/>
  <c r="Q10" i="5" s="1"/>
  <c r="R10" i="5" s="1"/>
  <c r="S10" i="5" s="1"/>
  <c r="T10" i="5" s="1"/>
  <c r="U10" i="5" s="1"/>
  <c r="V10" i="5" s="1"/>
  <c r="W10" i="5" s="1"/>
  <c r="X10" i="5" s="1"/>
  <c r="Y10" i="5" s="1"/>
  <c r="Z10" i="5" s="1"/>
  <c r="AA10" i="5" s="1"/>
  <c r="AB10" i="5" s="1"/>
  <c r="AC10" i="5" s="1"/>
  <c r="AD10" i="5" s="1"/>
  <c r="AE10" i="5" s="1"/>
  <c r="AF10" i="5" s="1"/>
  <c r="AG10" i="5" s="1"/>
  <c r="AH10" i="5" s="1"/>
  <c r="AI10" i="5" s="1"/>
  <c r="AJ10" i="5" s="1"/>
  <c r="AK10" i="5" s="1"/>
  <c r="AL10" i="5" s="1"/>
  <c r="AM10" i="5" s="1"/>
  <c r="AN10" i="5" s="1"/>
  <c r="AO10" i="5" s="1"/>
  <c r="AP10" i="5" s="1"/>
  <c r="AQ10" i="5" s="1"/>
  <c r="AR10" i="5" s="1"/>
  <c r="AS10" i="5" s="1"/>
  <c r="AT10" i="5" s="1"/>
  <c r="AU10" i="5" s="1"/>
  <c r="AV10" i="5" s="1"/>
  <c r="AW10" i="5" s="1"/>
  <c r="AX10" i="5" s="1"/>
  <c r="AY10" i="5" s="1"/>
  <c r="AZ10" i="5" s="1"/>
  <c r="BA10" i="5" s="1"/>
  <c r="BB10" i="5" s="1"/>
  <c r="BC10" i="5" s="1"/>
  <c r="BD10" i="5" s="1"/>
  <c r="BE10" i="5" s="1"/>
  <c r="BF10" i="5" s="1"/>
  <c r="BG10" i="5" s="1"/>
  <c r="BH10" i="5" s="1"/>
  <c r="BI10" i="5" s="1"/>
  <c r="BJ10" i="5" s="1"/>
  <c r="BK10" i="5" s="1"/>
  <c r="BL10" i="5" s="1"/>
  <c r="BM10" i="5" s="1"/>
  <c r="BN10" i="5" s="1"/>
  <c r="BO10" i="5" s="1"/>
  <c r="F10" i="5"/>
  <c r="E10" i="5"/>
  <c r="C125" i="4"/>
  <c r="B113" i="4"/>
  <c r="B230" i="8" s="1"/>
  <c r="B111" i="4"/>
  <c r="B228" i="8" s="1"/>
  <c r="B232" i="8" s="1"/>
  <c r="B110" i="4"/>
  <c r="B108" i="4"/>
  <c r="B107" i="4"/>
  <c r="B105" i="4"/>
  <c r="B104" i="4"/>
  <c r="C100" i="4"/>
  <c r="C99" i="4"/>
  <c r="C98" i="4"/>
  <c r="C97" i="4"/>
  <c r="C96" i="4"/>
  <c r="C95" i="4"/>
  <c r="C94" i="4"/>
  <c r="C93" i="4"/>
  <c r="C92" i="4"/>
  <c r="C91" i="4"/>
  <c r="B89" i="4"/>
  <c r="E89" i="4" s="1"/>
  <c r="G79" i="4"/>
  <c r="G126" i="4" s="1"/>
  <c r="F79" i="4"/>
  <c r="F126" i="4" s="1"/>
  <c r="E79" i="4"/>
  <c r="E126" i="4" s="1"/>
  <c r="D79" i="4"/>
  <c r="D126" i="4" s="1"/>
  <c r="C79" i="4"/>
  <c r="C126" i="4" s="1"/>
  <c r="B66" i="4"/>
  <c r="E64" i="4"/>
  <c r="F64" i="4" s="1"/>
  <c r="G64" i="4" s="1"/>
  <c r="H64" i="4" s="1"/>
  <c r="I64" i="4" s="1"/>
  <c r="J64" i="4" s="1"/>
  <c r="K64" i="4" s="1"/>
  <c r="L64" i="4" s="1"/>
  <c r="M64" i="4" s="1"/>
  <c r="N64" i="4" s="1"/>
  <c r="D64" i="4"/>
  <c r="C64" i="4"/>
  <c r="B52" i="4"/>
  <c r="G10" i="4"/>
  <c r="F10" i="4"/>
  <c r="E10" i="4"/>
  <c r="D32" i="2"/>
  <c r="C32" i="2"/>
  <c r="D31" i="2"/>
  <c r="C31" i="2"/>
  <c r="D30" i="2"/>
  <c r="C30" i="2"/>
  <c r="D29" i="2"/>
  <c r="C29" i="2"/>
  <c r="D28" i="2"/>
  <c r="C28" i="2"/>
  <c r="D27" i="2"/>
  <c r="C27" i="2"/>
  <c r="D17" i="2"/>
  <c r="C17" i="2"/>
  <c r="D15" i="2"/>
  <c r="C15" i="2"/>
  <c r="C13" i="2"/>
  <c r="D12" i="2"/>
  <c r="C12" i="2"/>
  <c r="D10" i="2"/>
  <c r="C10" i="2"/>
  <c r="C9" i="2"/>
  <c r="D30" i="1"/>
  <c r="D26" i="1"/>
  <c r="D25" i="1"/>
  <c r="C35" i="3"/>
  <c r="C31" i="3"/>
  <c r="S31" i="5" l="1"/>
  <c r="AN31" i="5"/>
  <c r="N28" i="5"/>
  <c r="AJ28" i="5"/>
  <c r="BF28" i="5"/>
  <c r="BF68" i="5" s="1"/>
  <c r="BI29" i="5"/>
  <c r="AK33" i="5"/>
  <c r="BF29" i="5"/>
  <c r="BF69" i="5" s="1"/>
  <c r="AX33" i="5"/>
  <c r="AX31" i="5"/>
  <c r="AO31" i="5"/>
  <c r="E28" i="5"/>
  <c r="AA28" i="5"/>
  <c r="AA68" i="5" s="1"/>
  <c r="AU28" i="5"/>
  <c r="AU68" i="5" s="1"/>
  <c r="S29" i="5"/>
  <c r="S69" i="5" s="1"/>
  <c r="AY31" i="5"/>
  <c r="AY71" i="5" s="1"/>
  <c r="G34" i="8"/>
  <c r="I34" i="8" s="1"/>
  <c r="F34" i="8"/>
  <c r="B106" i="5"/>
  <c r="D11" i="2" s="1"/>
  <c r="B106" i="4"/>
  <c r="C11" i="2" s="1"/>
  <c r="AN30" i="5"/>
  <c r="W28" i="4"/>
  <c r="BA27" i="5"/>
  <c r="J32" i="5"/>
  <c r="B170" i="8"/>
  <c r="B178" i="8" s="1"/>
  <c r="M29" i="4"/>
  <c r="R33" i="4"/>
  <c r="B111" i="8"/>
  <c r="B16" i="8" s="1"/>
  <c r="E63" i="8"/>
  <c r="F63" i="8" s="1"/>
  <c r="F249" i="8"/>
  <c r="B112" i="9"/>
  <c r="E64" i="8"/>
  <c r="F64" i="8" s="1"/>
  <c r="C112" i="9"/>
  <c r="D29" i="5"/>
  <c r="AT29" i="5"/>
  <c r="AB31" i="5"/>
  <c r="AB71" i="5" s="1"/>
  <c r="AV32" i="5"/>
  <c r="V27" i="5"/>
  <c r="V67" i="5" s="1"/>
  <c r="Z29" i="5"/>
  <c r="BH31" i="5"/>
  <c r="Y29" i="5"/>
  <c r="BO29" i="5"/>
  <c r="AS27" i="5"/>
  <c r="AI29" i="5"/>
  <c r="AI69" i="5" s="1"/>
  <c r="I31" i="5"/>
  <c r="H32" i="5"/>
  <c r="H72" i="5" s="1"/>
  <c r="C29" i="5"/>
  <c r="C69" i="5" s="1"/>
  <c r="AS29" i="5"/>
  <c r="AS69" i="5" s="1"/>
  <c r="AA31" i="5"/>
  <c r="AL32" i="5"/>
  <c r="O27" i="4"/>
  <c r="N29" i="4"/>
  <c r="X29" i="4"/>
  <c r="AP33" i="4"/>
  <c r="BD28" i="4"/>
  <c r="AM33" i="4"/>
  <c r="AE27" i="4"/>
  <c r="AF29" i="4"/>
  <c r="BA33" i="4"/>
  <c r="BN33" i="4"/>
  <c r="D29" i="4"/>
  <c r="BJ29" i="4"/>
  <c r="AP34" i="4"/>
  <c r="E29" i="4"/>
  <c r="F33" i="4"/>
  <c r="AO29" i="4"/>
  <c r="AM28" i="4"/>
  <c r="AQ29" i="4"/>
  <c r="M34" i="4"/>
  <c r="M74" i="4" s="1"/>
  <c r="P33" i="4"/>
  <c r="E42" i="8"/>
  <c r="F33" i="5"/>
  <c r="F73" i="5" s="1"/>
  <c r="Z33" i="5"/>
  <c r="AV33" i="5"/>
  <c r="BC27" i="5"/>
  <c r="BC67" i="5" s="1"/>
  <c r="R29" i="5"/>
  <c r="AL29" i="5"/>
  <c r="AL69" i="5" s="1"/>
  <c r="BH29" i="5"/>
  <c r="BH69" i="5" s="1"/>
  <c r="R31" i="5"/>
  <c r="AW31" i="5"/>
  <c r="AW71" i="5" s="1"/>
  <c r="V32" i="5"/>
  <c r="I33" i="5"/>
  <c r="AE33" i="5"/>
  <c r="BA33" i="5"/>
  <c r="BA73" i="5" s="1"/>
  <c r="AN70" i="5"/>
  <c r="BB34" i="5"/>
  <c r="BB74" i="5" s="1"/>
  <c r="P33" i="5"/>
  <c r="AL33" i="5"/>
  <c r="BF33" i="5"/>
  <c r="R33" i="5"/>
  <c r="AN33" i="5"/>
  <c r="AN73" i="5" s="1"/>
  <c r="BJ33" i="5"/>
  <c r="BJ73" i="5" s="1"/>
  <c r="AE27" i="5"/>
  <c r="AE67" i="5" s="1"/>
  <c r="F29" i="5"/>
  <c r="F69" i="5" s="1"/>
  <c r="AB29" i="5"/>
  <c r="AX29" i="5"/>
  <c r="AX69" i="5" s="1"/>
  <c r="G31" i="5"/>
  <c r="AE31" i="5"/>
  <c r="BK31" i="5"/>
  <c r="AW32" i="5"/>
  <c r="AW72" i="5" s="1"/>
  <c r="U33" i="5"/>
  <c r="U73" i="5" s="1"/>
  <c r="AO33" i="5"/>
  <c r="AO73" i="5" s="1"/>
  <c r="BK33" i="5"/>
  <c r="BK32" i="5"/>
  <c r="AF27" i="5"/>
  <c r="AD68" i="5"/>
  <c r="AZ68" i="5"/>
  <c r="I29" i="5"/>
  <c r="AC29" i="5"/>
  <c r="AC69" i="5" s="1"/>
  <c r="AY29" i="5"/>
  <c r="AY69" i="5" s="1"/>
  <c r="H31" i="5"/>
  <c r="AM31" i="5"/>
  <c r="AM71" i="5" s="1"/>
  <c r="BL31" i="5"/>
  <c r="E33" i="5"/>
  <c r="Y33" i="5"/>
  <c r="AU33" i="5"/>
  <c r="AU73" i="5" s="1"/>
  <c r="N29" i="5"/>
  <c r="N69" i="5" s="1"/>
  <c r="AJ29" i="5"/>
  <c r="AJ69" i="5" s="1"/>
  <c r="Q31" i="5"/>
  <c r="H33" i="5"/>
  <c r="H73" i="5" s="1"/>
  <c r="AD33" i="5"/>
  <c r="X28" i="4"/>
  <c r="W27" i="4"/>
  <c r="AL28" i="4"/>
  <c r="F29" i="4"/>
  <c r="AG29" i="4"/>
  <c r="G33" i="4"/>
  <c r="BB33" i="4"/>
  <c r="F28" i="4"/>
  <c r="G28" i="4"/>
  <c r="BB28" i="4"/>
  <c r="O29" i="4"/>
  <c r="AY29" i="4"/>
  <c r="AB33" i="4"/>
  <c r="P34" i="4"/>
  <c r="H28" i="4"/>
  <c r="H68" i="4" s="1"/>
  <c r="BC28" i="4"/>
  <c r="V29" i="4"/>
  <c r="AZ29" i="4"/>
  <c r="AC33" i="4"/>
  <c r="BN34" i="4"/>
  <c r="AN28" i="4"/>
  <c r="V28" i="4"/>
  <c r="W29" i="4"/>
  <c r="BI29" i="4"/>
  <c r="C44" i="8"/>
  <c r="D12" i="4" s="1"/>
  <c r="F44" i="8"/>
  <c r="H30" i="5"/>
  <c r="H70" i="5" s="1"/>
  <c r="T34" i="5"/>
  <c r="T74" i="5" s="1"/>
  <c r="W27" i="5"/>
  <c r="W67" i="5" s="1"/>
  <c r="BB27" i="5"/>
  <c r="F28" i="5"/>
  <c r="F68" i="5" s="1"/>
  <c r="R28" i="5"/>
  <c r="R68" i="5" s="1"/>
  <c r="AB28" i="5"/>
  <c r="AL28" i="5"/>
  <c r="AL68" i="5" s="1"/>
  <c r="AX28" i="5"/>
  <c r="AX68" i="5" s="1"/>
  <c r="BH28" i="5"/>
  <c r="BH68" i="5" s="1"/>
  <c r="E29" i="5"/>
  <c r="Q29" i="5"/>
  <c r="AA29" i="5"/>
  <c r="AK29" i="5"/>
  <c r="AW29" i="5"/>
  <c r="BG29" i="5"/>
  <c r="R30" i="5"/>
  <c r="R70" i="5" s="1"/>
  <c r="I32" i="5"/>
  <c r="I72" i="5" s="1"/>
  <c r="AU32" i="5"/>
  <c r="AU72" i="5" s="1"/>
  <c r="G33" i="5"/>
  <c r="Q33" i="5"/>
  <c r="AC33" i="5"/>
  <c r="AC73" i="5" s="1"/>
  <c r="AM33" i="5"/>
  <c r="AW33" i="5"/>
  <c r="AW73" i="5" s="1"/>
  <c r="BI33" i="5"/>
  <c r="AE34" i="5"/>
  <c r="AE74" i="5" s="1"/>
  <c r="BD34" i="5"/>
  <c r="K27" i="5"/>
  <c r="AI27" i="5"/>
  <c r="BL27" i="5"/>
  <c r="K28" i="5"/>
  <c r="U28" i="5"/>
  <c r="U68" i="5" s="1"/>
  <c r="AE28" i="5"/>
  <c r="AE68" i="5" s="1"/>
  <c r="AQ28" i="5"/>
  <c r="BA28" i="5"/>
  <c r="BA68" i="5" s="1"/>
  <c r="BK28" i="5"/>
  <c r="J29" i="5"/>
  <c r="J69" i="5" s="1"/>
  <c r="T29" i="5"/>
  <c r="T69" i="5" s="1"/>
  <c r="AD29" i="5"/>
  <c r="AP29" i="5"/>
  <c r="AP69" i="5" s="1"/>
  <c r="AZ29" i="5"/>
  <c r="AZ69" i="5" s="1"/>
  <c r="BJ29" i="5"/>
  <c r="BJ69" i="5" s="1"/>
  <c r="AX30" i="5"/>
  <c r="AX70" i="5" s="1"/>
  <c r="W32" i="5"/>
  <c r="BF32" i="5"/>
  <c r="BF72" i="5" s="1"/>
  <c r="J33" i="5"/>
  <c r="V33" i="5"/>
  <c r="AF33" i="5"/>
  <c r="AF73" i="5" s="1"/>
  <c r="AP33" i="5"/>
  <c r="BB33" i="5"/>
  <c r="BB73" i="5" s="1"/>
  <c r="BL33" i="5"/>
  <c r="BL73" i="5" s="1"/>
  <c r="L27" i="5"/>
  <c r="AQ27" i="5"/>
  <c r="AQ67" i="5" s="1"/>
  <c r="BO27" i="5"/>
  <c r="L28" i="5"/>
  <c r="L68" i="5" s="1"/>
  <c r="V28" i="5"/>
  <c r="V68" i="5" s="1"/>
  <c r="AH28" i="5"/>
  <c r="AH68" i="5" s="1"/>
  <c r="AR28" i="5"/>
  <c r="AR68" i="5" s="1"/>
  <c r="BB28" i="5"/>
  <c r="BB68" i="5" s="1"/>
  <c r="BN28" i="5"/>
  <c r="BN68" i="5" s="1"/>
  <c r="K29" i="5"/>
  <c r="K69" i="5" s="1"/>
  <c r="U29" i="5"/>
  <c r="AG29" i="5"/>
  <c r="AG69" i="5" s="1"/>
  <c r="AQ29" i="5"/>
  <c r="AQ69" i="5" s="1"/>
  <c r="BA29" i="5"/>
  <c r="BM29" i="5"/>
  <c r="BM69" i="5" s="1"/>
  <c r="BH30" i="5"/>
  <c r="BH70" i="5" s="1"/>
  <c r="X32" i="5"/>
  <c r="BJ32" i="5"/>
  <c r="BJ72" i="5" s="1"/>
  <c r="M33" i="5"/>
  <c r="W33" i="5"/>
  <c r="AG33" i="5"/>
  <c r="AS33" i="5"/>
  <c r="BC33" i="5"/>
  <c r="BC73" i="5" s="1"/>
  <c r="BM33" i="5"/>
  <c r="BM73" i="5" s="1"/>
  <c r="M27" i="5"/>
  <c r="AR27" i="5"/>
  <c r="AR67" i="5" s="1"/>
  <c r="C28" i="5"/>
  <c r="M28" i="5"/>
  <c r="M68" i="5" s="1"/>
  <c r="W28" i="5"/>
  <c r="AI28" i="5"/>
  <c r="AI68" i="5" s="1"/>
  <c r="AS28" i="5"/>
  <c r="BC28" i="5"/>
  <c r="BC68" i="5" s="1"/>
  <c r="BO28" i="5"/>
  <c r="BO68" i="5" s="1"/>
  <c r="L29" i="5"/>
  <c r="L69" i="5" s="1"/>
  <c r="V29" i="5"/>
  <c r="V69" i="5" s="1"/>
  <c r="AH29" i="5"/>
  <c r="AH69" i="5" s="1"/>
  <c r="AR29" i="5"/>
  <c r="BB29" i="5"/>
  <c r="BN29" i="5"/>
  <c r="BN69" i="5" s="1"/>
  <c r="AG32" i="5"/>
  <c r="N33" i="5"/>
  <c r="N73" i="5" s="1"/>
  <c r="X33" i="5"/>
  <c r="X73" i="5" s="1"/>
  <c r="AH33" i="5"/>
  <c r="AH73" i="5" s="1"/>
  <c r="AT33" i="5"/>
  <c r="BD33" i="5"/>
  <c r="BN33" i="5"/>
  <c r="BN73" i="5" s="1"/>
  <c r="AZ34" i="4"/>
  <c r="N69" i="4"/>
  <c r="C34" i="4"/>
  <c r="C74" i="4" s="1"/>
  <c r="BA34" i="4"/>
  <c r="BO34" i="4"/>
  <c r="AB34" i="4"/>
  <c r="AN34" i="4"/>
  <c r="AA34" i="4"/>
  <c r="C43" i="8"/>
  <c r="F45" i="8"/>
  <c r="D46" i="8"/>
  <c r="B41" i="8"/>
  <c r="E41" i="8"/>
  <c r="AE29" i="4"/>
  <c r="AN29" i="4"/>
  <c r="AW29" i="4"/>
  <c r="BG29" i="4"/>
  <c r="E33" i="4"/>
  <c r="E73" i="4" s="1"/>
  <c r="O33" i="4"/>
  <c r="Z33" i="4"/>
  <c r="AL33" i="4"/>
  <c r="AZ33" i="4"/>
  <c r="BK33" i="4"/>
  <c r="L34" i="4"/>
  <c r="Z34" i="4"/>
  <c r="AK34" i="4"/>
  <c r="AY34" i="4"/>
  <c r="BL34" i="4"/>
  <c r="BI28" i="4"/>
  <c r="AM27" i="4"/>
  <c r="L28" i="4"/>
  <c r="AB28" i="4"/>
  <c r="AR28" i="4"/>
  <c r="BH28" i="4"/>
  <c r="G29" i="4"/>
  <c r="G69" i="4" s="1"/>
  <c r="P29" i="4"/>
  <c r="Y29" i="4"/>
  <c r="AI29" i="4"/>
  <c r="AR29" i="4"/>
  <c r="BA29" i="4"/>
  <c r="BK29" i="4"/>
  <c r="H33" i="4"/>
  <c r="H73" i="4" s="1"/>
  <c r="T33" i="4"/>
  <c r="AD33" i="4"/>
  <c r="AR33" i="4"/>
  <c r="BC33" i="4"/>
  <c r="D34" i="4"/>
  <c r="R34" i="4"/>
  <c r="AC34" i="4"/>
  <c r="AQ34" i="4"/>
  <c r="BD34" i="4"/>
  <c r="AT28" i="4"/>
  <c r="BL29" i="4"/>
  <c r="E34" i="4"/>
  <c r="E74" i="4" s="1"/>
  <c r="BF34" i="4"/>
  <c r="BC27" i="4"/>
  <c r="O28" i="4"/>
  <c r="AE28" i="4"/>
  <c r="AU28" i="4"/>
  <c r="BK28" i="4"/>
  <c r="I29" i="4"/>
  <c r="S29" i="4"/>
  <c r="AB29" i="4"/>
  <c r="AK29" i="4"/>
  <c r="AT29" i="4"/>
  <c r="BC29" i="4"/>
  <c r="BM29" i="4"/>
  <c r="L33" i="4"/>
  <c r="L73" i="4" s="1"/>
  <c r="V33" i="4"/>
  <c r="AH33" i="4"/>
  <c r="AT33" i="4"/>
  <c r="BH33" i="4"/>
  <c r="H34" i="4"/>
  <c r="T34" i="4"/>
  <c r="AH34" i="4"/>
  <c r="AS34" i="4"/>
  <c r="BG34" i="4"/>
  <c r="BK27" i="4"/>
  <c r="P28" i="4"/>
  <c r="AF28" i="4"/>
  <c r="AV28" i="4"/>
  <c r="BL28" i="4"/>
  <c r="K29" i="4"/>
  <c r="T29" i="4"/>
  <c r="AC29" i="4"/>
  <c r="AL29" i="4"/>
  <c r="AU29" i="4"/>
  <c r="BD29" i="4"/>
  <c r="BO29" i="4"/>
  <c r="M33" i="4"/>
  <c r="W33" i="4"/>
  <c r="AJ33" i="4"/>
  <c r="AU33" i="4"/>
  <c r="BI33" i="4"/>
  <c r="J34" i="4"/>
  <c r="J74" i="4" s="1"/>
  <c r="U34" i="4"/>
  <c r="AI34" i="4"/>
  <c r="AV34" i="4"/>
  <c r="BH34" i="4"/>
  <c r="AU27" i="4"/>
  <c r="N28" i="4"/>
  <c r="AD28" i="4"/>
  <c r="BJ28" i="4"/>
  <c r="H29" i="4"/>
  <c r="H69" i="4" s="1"/>
  <c r="Q29" i="4"/>
  <c r="AA29" i="4"/>
  <c r="AJ29" i="4"/>
  <c r="AS29" i="4"/>
  <c r="BB29" i="4"/>
  <c r="J33" i="4"/>
  <c r="J73" i="4" s="1"/>
  <c r="U33" i="4"/>
  <c r="AE33" i="4"/>
  <c r="AS33" i="4"/>
  <c r="BF33" i="4"/>
  <c r="S34" i="4"/>
  <c r="AF34" i="4"/>
  <c r="AR34" i="4"/>
  <c r="G27" i="4"/>
  <c r="G67" i="4" s="1"/>
  <c r="D28" i="4"/>
  <c r="D68" i="4" s="1"/>
  <c r="T28" i="4"/>
  <c r="AJ28" i="4"/>
  <c r="AZ28" i="4"/>
  <c r="C29" i="4"/>
  <c r="L29" i="4"/>
  <c r="L69" i="4" s="1"/>
  <c r="U29" i="4"/>
  <c r="AD29" i="4"/>
  <c r="AM29" i="4"/>
  <c r="AV29" i="4"/>
  <c r="BE29" i="4"/>
  <c r="D33" i="4"/>
  <c r="D73" i="4" s="1"/>
  <c r="N33" i="4"/>
  <c r="X33" i="4"/>
  <c r="AK33" i="4"/>
  <c r="AX33" i="4"/>
  <c r="BJ33" i="4"/>
  <c r="K34" i="4"/>
  <c r="K74" i="4" s="1"/>
  <c r="X34" i="4"/>
  <c r="AJ34" i="4"/>
  <c r="AX34" i="4"/>
  <c r="BI34" i="4"/>
  <c r="F29" i="8"/>
  <c r="C41" i="8"/>
  <c r="F42" i="8"/>
  <c r="D44" i="8"/>
  <c r="B46" i="8"/>
  <c r="D41" i="8"/>
  <c r="B43" i="8"/>
  <c r="E44" i="8"/>
  <c r="C46" i="8"/>
  <c r="F41" i="8"/>
  <c r="D43" i="8"/>
  <c r="B45" i="8"/>
  <c r="E46" i="8"/>
  <c r="B42" i="8"/>
  <c r="E43" i="8"/>
  <c r="F11" i="4" s="1"/>
  <c r="F20" i="4" s="1"/>
  <c r="C45" i="8"/>
  <c r="F46" i="8"/>
  <c r="C42" i="8"/>
  <c r="F43" i="8"/>
  <c r="D45" i="8"/>
  <c r="D42" i="8"/>
  <c r="B44" i="8"/>
  <c r="B54" i="8" s="1"/>
  <c r="E45" i="8"/>
  <c r="BK30" i="5"/>
  <c r="BK70" i="5" s="1"/>
  <c r="BC30" i="5"/>
  <c r="BC70" i="5" s="1"/>
  <c r="AU30" i="5"/>
  <c r="AU70" i="5" s="1"/>
  <c r="AM30" i="5"/>
  <c r="AM70" i="5" s="1"/>
  <c r="AE30" i="5"/>
  <c r="AE70" i="5" s="1"/>
  <c r="W30" i="5"/>
  <c r="W70" i="5" s="1"/>
  <c r="O30" i="5"/>
  <c r="O70" i="5" s="1"/>
  <c r="G30" i="5"/>
  <c r="G70" i="5" s="1"/>
  <c r="BJ30" i="5"/>
  <c r="BJ70" i="5" s="1"/>
  <c r="BB30" i="5"/>
  <c r="BB70" i="5" s="1"/>
  <c r="AT30" i="5"/>
  <c r="AL30" i="5"/>
  <c r="AL70" i="5" s="1"/>
  <c r="AD30" i="5"/>
  <c r="AD70" i="5" s="1"/>
  <c r="V30" i="5"/>
  <c r="N30" i="5"/>
  <c r="F30" i="5"/>
  <c r="S30" i="5"/>
  <c r="S70" i="5" s="1"/>
  <c r="AY30" i="5"/>
  <c r="AY70" i="5" s="1"/>
  <c r="AC30" i="5"/>
  <c r="U34" i="5"/>
  <c r="U74" i="5" s="1"/>
  <c r="AT34" i="5"/>
  <c r="AT74" i="5" s="1"/>
  <c r="T30" i="5"/>
  <c r="T70" i="5" s="1"/>
  <c r="AP30" i="5"/>
  <c r="AP70" i="5" s="1"/>
  <c r="BN27" i="5"/>
  <c r="BN67" i="5" s="1"/>
  <c r="BF27" i="5"/>
  <c r="AX27" i="5"/>
  <c r="AP27" i="5"/>
  <c r="AP67" i="5" s="1"/>
  <c r="AH27" i="5"/>
  <c r="AH67" i="5" s="1"/>
  <c r="Z27" i="5"/>
  <c r="Z67" i="5" s="1"/>
  <c r="R27" i="5"/>
  <c r="R67" i="5" s="1"/>
  <c r="J27" i="5"/>
  <c r="BM27" i="5"/>
  <c r="BE27" i="5"/>
  <c r="AW27" i="5"/>
  <c r="AW67" i="5" s="1"/>
  <c r="AO27" i="5"/>
  <c r="AG27" i="5"/>
  <c r="Y27" i="5"/>
  <c r="Y67" i="5" s="1"/>
  <c r="Q27" i="5"/>
  <c r="I27" i="5"/>
  <c r="BJ31" i="5"/>
  <c r="BJ71" i="5" s="1"/>
  <c r="BB31" i="5"/>
  <c r="BB71" i="5" s="1"/>
  <c r="AT31" i="5"/>
  <c r="AT71" i="5" s="1"/>
  <c r="AL31" i="5"/>
  <c r="AL71" i="5" s="1"/>
  <c r="AD31" i="5"/>
  <c r="AD71" i="5" s="1"/>
  <c r="V31" i="5"/>
  <c r="V71" i="5" s="1"/>
  <c r="N31" i="5"/>
  <c r="N71" i="5" s="1"/>
  <c r="F31" i="5"/>
  <c r="F71" i="5" s="1"/>
  <c r="BI31" i="5"/>
  <c r="BI71" i="5" s="1"/>
  <c r="BA31" i="5"/>
  <c r="BA71" i="5" s="1"/>
  <c r="AS31" i="5"/>
  <c r="AS71" i="5" s="1"/>
  <c r="AK31" i="5"/>
  <c r="AK71" i="5" s="1"/>
  <c r="AC31" i="5"/>
  <c r="AC71" i="5" s="1"/>
  <c r="U31" i="5"/>
  <c r="U71" i="5" s="1"/>
  <c r="M31" i="5"/>
  <c r="M71" i="5" s="1"/>
  <c r="E31" i="5"/>
  <c r="E71" i="5" s="1"/>
  <c r="AZ31" i="5"/>
  <c r="AZ71" i="5" s="1"/>
  <c r="F149" i="8"/>
  <c r="AI32" i="5"/>
  <c r="AI72" i="5" s="1"/>
  <c r="K32" i="5"/>
  <c r="K72" i="5" s="1"/>
  <c r="BO32" i="5"/>
  <c r="BG32" i="5"/>
  <c r="BG72" i="5" s="1"/>
  <c r="AQ32" i="5"/>
  <c r="AQ72" i="5" s="1"/>
  <c r="S32" i="5"/>
  <c r="S72" i="5" s="1"/>
  <c r="AY32" i="5"/>
  <c r="AA32" i="5"/>
  <c r="AA72" i="5" s="1"/>
  <c r="C32" i="5"/>
  <c r="C72" i="5" s="1"/>
  <c r="D27" i="5"/>
  <c r="D67" i="5" s="1"/>
  <c r="N27" i="5"/>
  <c r="X27" i="5"/>
  <c r="AJ27" i="5"/>
  <c r="AJ67" i="5" s="1"/>
  <c r="AT27" i="5"/>
  <c r="BD27" i="5"/>
  <c r="AR69" i="5"/>
  <c r="K30" i="5"/>
  <c r="U30" i="5"/>
  <c r="U70" i="5" s="1"/>
  <c r="AG30" i="5"/>
  <c r="AG70" i="5" s="1"/>
  <c r="AQ30" i="5"/>
  <c r="BA30" i="5"/>
  <c r="BA70" i="5" s="1"/>
  <c r="BM30" i="5"/>
  <c r="BM70" i="5" s="1"/>
  <c r="J31" i="5"/>
  <c r="J71" i="5" s="1"/>
  <c r="T31" i="5"/>
  <c r="T71" i="5" s="1"/>
  <c r="AF31" i="5"/>
  <c r="AF71" i="5" s="1"/>
  <c r="AP31" i="5"/>
  <c r="AP71" i="5" s="1"/>
  <c r="BC31" i="5"/>
  <c r="BM31" i="5"/>
  <c r="BM71" i="5" s="1"/>
  <c r="N32" i="5"/>
  <c r="N72" i="5" s="1"/>
  <c r="Y32" i="5"/>
  <c r="Y72" i="5" s="1"/>
  <c r="AM32" i="5"/>
  <c r="AM72" i="5" s="1"/>
  <c r="AX32" i="5"/>
  <c r="AX72" i="5" s="1"/>
  <c r="BL32" i="5"/>
  <c r="BL72" i="5" s="1"/>
  <c r="L34" i="5"/>
  <c r="W34" i="5"/>
  <c r="W74" i="5" s="1"/>
  <c r="AK34" i="5"/>
  <c r="AV34" i="5"/>
  <c r="BJ34" i="5"/>
  <c r="BJ74" i="5" s="1"/>
  <c r="AJ34" i="5"/>
  <c r="AJ74" i="5" s="1"/>
  <c r="E27" i="5"/>
  <c r="E67" i="5" s="1"/>
  <c r="O27" i="5"/>
  <c r="AK27" i="5"/>
  <c r="AK67" i="5" s="1"/>
  <c r="AU27" i="5"/>
  <c r="AU67" i="5" s="1"/>
  <c r="BG27" i="5"/>
  <c r="N68" i="5"/>
  <c r="Z68" i="5"/>
  <c r="AT68" i="5"/>
  <c r="BE69" i="5"/>
  <c r="BO69" i="5"/>
  <c r="L30" i="5"/>
  <c r="L70" i="5" s="1"/>
  <c r="X30" i="5"/>
  <c r="X70" i="5" s="1"/>
  <c r="AR30" i="5"/>
  <c r="AR70" i="5" s="1"/>
  <c r="BD30" i="5"/>
  <c r="BN30" i="5"/>
  <c r="BN70" i="5" s="1"/>
  <c r="K31" i="5"/>
  <c r="K71" i="5" s="1"/>
  <c r="W31" i="5"/>
  <c r="W71" i="5" s="1"/>
  <c r="AG31" i="5"/>
  <c r="AG71" i="5" s="1"/>
  <c r="AQ31" i="5"/>
  <c r="BD31" i="5"/>
  <c r="BD71" i="5" s="1"/>
  <c r="BN31" i="5"/>
  <c r="BN71" i="5" s="1"/>
  <c r="O32" i="5"/>
  <c r="Z32" i="5"/>
  <c r="Z72" i="5" s="1"/>
  <c r="AN32" i="5"/>
  <c r="AN72" i="5" s="1"/>
  <c r="BB32" i="5"/>
  <c r="BM32" i="5"/>
  <c r="M34" i="5"/>
  <c r="M74" i="5" s="1"/>
  <c r="X34" i="5"/>
  <c r="X74" i="5" s="1"/>
  <c r="AL34" i="5"/>
  <c r="AL74" i="5" s="1"/>
  <c r="AZ34" i="5"/>
  <c r="AZ74" i="5" s="1"/>
  <c r="BK34" i="5"/>
  <c r="BK74" i="5" s="1"/>
  <c r="BI32" i="5"/>
  <c r="BI72" i="5" s="1"/>
  <c r="I30" i="5"/>
  <c r="I70" i="5" s="1"/>
  <c r="AO30" i="5"/>
  <c r="AO70" i="5" s="1"/>
  <c r="BI30" i="5"/>
  <c r="G34" i="5"/>
  <c r="G74" i="5" s="1"/>
  <c r="AF34" i="5"/>
  <c r="AF74" i="5" s="1"/>
  <c r="BH34" i="5"/>
  <c r="BH74" i="5" s="1"/>
  <c r="J30" i="5"/>
  <c r="J70" i="5" s="1"/>
  <c r="AF30" i="5"/>
  <c r="AF70" i="5" s="1"/>
  <c r="AZ30" i="5"/>
  <c r="AZ70" i="5" s="1"/>
  <c r="BL30" i="5"/>
  <c r="BL70" i="5" s="1"/>
  <c r="H34" i="5"/>
  <c r="H74" i="5" s="1"/>
  <c r="V34" i="5"/>
  <c r="V74" i="5" s="1"/>
  <c r="AU34" i="5"/>
  <c r="AU74" i="5" s="1"/>
  <c r="BI34" i="5"/>
  <c r="BI74" i="5" s="1"/>
  <c r="F27" i="5"/>
  <c r="F67" i="5" s="1"/>
  <c r="P27" i="5"/>
  <c r="AB27" i="5"/>
  <c r="AB67" i="5" s="1"/>
  <c r="AL27" i="5"/>
  <c r="AV27" i="5"/>
  <c r="BH27" i="5"/>
  <c r="E68" i="5"/>
  <c r="AK68" i="5"/>
  <c r="D69" i="5"/>
  <c r="Z69" i="5"/>
  <c r="C30" i="5"/>
  <c r="M30" i="5"/>
  <c r="Y30" i="5"/>
  <c r="Y70" i="5" s="1"/>
  <c r="AI30" i="5"/>
  <c r="AS30" i="5"/>
  <c r="AS70" i="5" s="1"/>
  <c r="BE30" i="5"/>
  <c r="BE70" i="5" s="1"/>
  <c r="BO30" i="5"/>
  <c r="L31" i="5"/>
  <c r="L71" i="5" s="1"/>
  <c r="X31" i="5"/>
  <c r="X71" i="5" s="1"/>
  <c r="AH31" i="5"/>
  <c r="AH71" i="5" s="1"/>
  <c r="AR31" i="5"/>
  <c r="AR71" i="5" s="1"/>
  <c r="BE31" i="5"/>
  <c r="BE71" i="5" s="1"/>
  <c r="BO31" i="5"/>
  <c r="BO71" i="5" s="1"/>
  <c r="P32" i="5"/>
  <c r="P72" i="5" s="1"/>
  <c r="AD32" i="5"/>
  <c r="AD72" i="5" s="1"/>
  <c r="AO32" i="5"/>
  <c r="AO72" i="5" s="1"/>
  <c r="BC32" i="5"/>
  <c r="BC72" i="5" s="1"/>
  <c r="BN32" i="5"/>
  <c r="BN72" i="5" s="1"/>
  <c r="N34" i="5"/>
  <c r="N74" i="5" s="1"/>
  <c r="AB34" i="5"/>
  <c r="AB74" i="5" s="1"/>
  <c r="AM34" i="5"/>
  <c r="BA34" i="5"/>
  <c r="BA74" i="5" s="1"/>
  <c r="BL34" i="5"/>
  <c r="AA27" i="5"/>
  <c r="AA67" i="5" s="1"/>
  <c r="AH30" i="5"/>
  <c r="AH70" i="5" s="1"/>
  <c r="G27" i="5"/>
  <c r="G67" i="5" s="1"/>
  <c r="S27" i="5"/>
  <c r="S67" i="5" s="1"/>
  <c r="AC27" i="5"/>
  <c r="AC67" i="5" s="1"/>
  <c r="AM27" i="5"/>
  <c r="AY27" i="5"/>
  <c r="BI27" i="5"/>
  <c r="BI67" i="5" s="1"/>
  <c r="AA69" i="5"/>
  <c r="AW69" i="5"/>
  <c r="D30" i="5"/>
  <c r="D70" i="5" s="1"/>
  <c r="P30" i="5"/>
  <c r="P70" i="5" s="1"/>
  <c r="Z30" i="5"/>
  <c r="Z70" i="5" s="1"/>
  <c r="AJ30" i="5"/>
  <c r="AJ70" i="5" s="1"/>
  <c r="AV30" i="5"/>
  <c r="AV70" i="5" s="1"/>
  <c r="BF30" i="5"/>
  <c r="C31" i="5"/>
  <c r="O31" i="5"/>
  <c r="O71" i="5" s="1"/>
  <c r="Y31" i="5"/>
  <c r="Y71" i="5" s="1"/>
  <c r="AI31" i="5"/>
  <c r="AI71" i="5" s="1"/>
  <c r="AU31" i="5"/>
  <c r="AU71" i="5" s="1"/>
  <c r="BF31" i="5"/>
  <c r="F32" i="5"/>
  <c r="F72" i="5" s="1"/>
  <c r="Q32" i="5"/>
  <c r="AE32" i="5"/>
  <c r="AP32" i="5"/>
  <c r="AP72" i="5" s="1"/>
  <c r="BD32" i="5"/>
  <c r="BD72" i="5" s="1"/>
  <c r="D34" i="5"/>
  <c r="D74" i="5" s="1"/>
  <c r="O34" i="5"/>
  <c r="O74" i="5" s="1"/>
  <c r="AC34" i="5"/>
  <c r="AN34" i="5"/>
  <c r="AN74" i="5" s="1"/>
  <c r="F143" i="8"/>
  <c r="BO34" i="5"/>
  <c r="BO74" i="5" s="1"/>
  <c r="BG34" i="5"/>
  <c r="BG74" i="5" s="1"/>
  <c r="AY34" i="5"/>
  <c r="AY74" i="5" s="1"/>
  <c r="AQ34" i="5"/>
  <c r="AQ74" i="5" s="1"/>
  <c r="AI34" i="5"/>
  <c r="AI74" i="5" s="1"/>
  <c r="AA34" i="5"/>
  <c r="AA74" i="5" s="1"/>
  <c r="S34" i="5"/>
  <c r="K34" i="5"/>
  <c r="K74" i="5" s="1"/>
  <c r="C34" i="5"/>
  <c r="C74" i="5" s="1"/>
  <c r="BE34" i="5"/>
  <c r="BE74" i="5" s="1"/>
  <c r="AG34" i="5"/>
  <c r="AG74" i="5" s="1"/>
  <c r="Q34" i="5"/>
  <c r="Q74" i="5" s="1"/>
  <c r="BN34" i="5"/>
  <c r="BN74" i="5" s="1"/>
  <c r="BF34" i="5"/>
  <c r="AX34" i="5"/>
  <c r="AP34" i="5"/>
  <c r="AP74" i="5" s="1"/>
  <c r="AH34" i="5"/>
  <c r="Z34" i="5"/>
  <c r="Z74" i="5" s="1"/>
  <c r="R34" i="5"/>
  <c r="R74" i="5" s="1"/>
  <c r="J34" i="5"/>
  <c r="J74" i="5" s="1"/>
  <c r="BM34" i="5"/>
  <c r="BM74" i="5" s="1"/>
  <c r="AW34" i="5"/>
  <c r="AW74" i="5" s="1"/>
  <c r="AO34" i="5"/>
  <c r="AO74" i="5" s="1"/>
  <c r="Y34" i="5"/>
  <c r="Y74" i="5" s="1"/>
  <c r="I34" i="5"/>
  <c r="I74" i="5" s="1"/>
  <c r="H27" i="5"/>
  <c r="T27" i="5"/>
  <c r="T67" i="5" s="1"/>
  <c r="AD27" i="5"/>
  <c r="AD67" i="5" s="1"/>
  <c r="AN27" i="5"/>
  <c r="AZ27" i="5"/>
  <c r="BJ27" i="5"/>
  <c r="AC68" i="5"/>
  <c r="BI68" i="5"/>
  <c r="R69" i="5"/>
  <c r="AB69" i="5"/>
  <c r="E30" i="5"/>
  <c r="Q30" i="5"/>
  <c r="Q70" i="5" s="1"/>
  <c r="AA30" i="5"/>
  <c r="AA70" i="5" s="1"/>
  <c r="AK30" i="5"/>
  <c r="AK70" i="5" s="1"/>
  <c r="AW30" i="5"/>
  <c r="AW70" i="5" s="1"/>
  <c r="BG30" i="5"/>
  <c r="BG70" i="5" s="1"/>
  <c r="D31" i="5"/>
  <c r="P31" i="5"/>
  <c r="P71" i="5" s="1"/>
  <c r="Z31" i="5"/>
  <c r="Z71" i="5" s="1"/>
  <c r="AJ31" i="5"/>
  <c r="AJ71" i="5" s="1"/>
  <c r="AV31" i="5"/>
  <c r="AV71" i="5" s="1"/>
  <c r="BG31" i="5"/>
  <c r="BG71" i="5" s="1"/>
  <c r="G32" i="5"/>
  <c r="G72" i="5" s="1"/>
  <c r="R32" i="5"/>
  <c r="AF32" i="5"/>
  <c r="AF72" i="5" s="1"/>
  <c r="AT32" i="5"/>
  <c r="AT72" i="5" s="1"/>
  <c r="BE32" i="5"/>
  <c r="BE72" i="5" s="1"/>
  <c r="E34" i="5"/>
  <c r="E74" i="5" s="1"/>
  <c r="P34" i="5"/>
  <c r="P74" i="5" s="1"/>
  <c r="AD34" i="5"/>
  <c r="AD74" i="5" s="1"/>
  <c r="AR34" i="5"/>
  <c r="AR74" i="5" s="1"/>
  <c r="BC34" i="5"/>
  <c r="BC74" i="5" s="1"/>
  <c r="H28" i="5"/>
  <c r="H68" i="5" s="1"/>
  <c r="P28" i="5"/>
  <c r="P68" i="5" s="1"/>
  <c r="X28" i="5"/>
  <c r="X68" i="5" s="1"/>
  <c r="AF28" i="5"/>
  <c r="AF68" i="5" s="1"/>
  <c r="AN28" i="5"/>
  <c r="AN68" i="5" s="1"/>
  <c r="AV28" i="5"/>
  <c r="AV68" i="5" s="1"/>
  <c r="BD28" i="5"/>
  <c r="BD68" i="5" s="1"/>
  <c r="BL28" i="5"/>
  <c r="BL68" i="5" s="1"/>
  <c r="G29" i="5"/>
  <c r="G69" i="5" s="1"/>
  <c r="O29" i="5"/>
  <c r="O69" i="5" s="1"/>
  <c r="W29" i="5"/>
  <c r="W69" i="5" s="1"/>
  <c r="AE29" i="5"/>
  <c r="AE69" i="5" s="1"/>
  <c r="AM29" i="5"/>
  <c r="AM69" i="5" s="1"/>
  <c r="AU29" i="5"/>
  <c r="AU69" i="5" s="1"/>
  <c r="BC29" i="5"/>
  <c r="BK29" i="5"/>
  <c r="BK69" i="5" s="1"/>
  <c r="D32" i="5"/>
  <c r="D72" i="5" s="1"/>
  <c r="L32" i="5"/>
  <c r="L72" i="5" s="1"/>
  <c r="T32" i="5"/>
  <c r="T72" i="5" s="1"/>
  <c r="AB32" i="5"/>
  <c r="AB72" i="5" s="1"/>
  <c r="AJ32" i="5"/>
  <c r="AJ72" i="5" s="1"/>
  <c r="AR32" i="5"/>
  <c r="AR72" i="5" s="1"/>
  <c r="AZ32" i="5"/>
  <c r="AZ72" i="5" s="1"/>
  <c r="BH32" i="5"/>
  <c r="BH72" i="5" s="1"/>
  <c r="C33" i="5"/>
  <c r="C73" i="5" s="1"/>
  <c r="K33" i="5"/>
  <c r="K73" i="5" s="1"/>
  <c r="S33" i="5"/>
  <c r="S73" i="5" s="1"/>
  <c r="AA33" i="5"/>
  <c r="AA73" i="5" s="1"/>
  <c r="AI33" i="5"/>
  <c r="AI73" i="5" s="1"/>
  <c r="AQ33" i="5"/>
  <c r="AY33" i="5"/>
  <c r="AY73" i="5" s="1"/>
  <c r="BG33" i="5"/>
  <c r="BG73" i="5" s="1"/>
  <c r="BO33" i="5"/>
  <c r="I28" i="5"/>
  <c r="I68" i="5" s="1"/>
  <c r="Q28" i="5"/>
  <c r="Q68" i="5" s="1"/>
  <c r="Y28" i="5"/>
  <c r="Y68" i="5" s="1"/>
  <c r="AG28" i="5"/>
  <c r="AG68" i="5" s="1"/>
  <c r="AO28" i="5"/>
  <c r="AO68" i="5" s="1"/>
  <c r="AW28" i="5"/>
  <c r="AW68" i="5" s="1"/>
  <c r="BE28" i="5"/>
  <c r="BE68" i="5" s="1"/>
  <c r="H29" i="5"/>
  <c r="H69" i="5" s="1"/>
  <c r="P29" i="5"/>
  <c r="P69" i="5" s="1"/>
  <c r="X29" i="5"/>
  <c r="X69" i="5" s="1"/>
  <c r="AF29" i="5"/>
  <c r="AN29" i="5"/>
  <c r="AN69" i="5" s="1"/>
  <c r="AV29" i="5"/>
  <c r="AV69" i="5" s="1"/>
  <c r="BD29" i="5"/>
  <c r="BD69" i="5" s="1"/>
  <c r="BL29" i="5"/>
  <c r="E32" i="5"/>
  <c r="E72" i="5" s="1"/>
  <c r="M32" i="5"/>
  <c r="M72" i="5" s="1"/>
  <c r="U32" i="5"/>
  <c r="U72" i="5" s="1"/>
  <c r="AC32" i="5"/>
  <c r="AC72" i="5" s="1"/>
  <c r="AK32" i="5"/>
  <c r="AK72" i="5" s="1"/>
  <c r="AS32" i="5"/>
  <c r="BA32" i="5"/>
  <c r="BA72" i="5" s="1"/>
  <c r="D33" i="5"/>
  <c r="L33" i="5"/>
  <c r="L73" i="5" s="1"/>
  <c r="T33" i="5"/>
  <c r="T73" i="5" s="1"/>
  <c r="AB33" i="5"/>
  <c r="AB73" i="5" s="1"/>
  <c r="AJ33" i="5"/>
  <c r="AJ73" i="5" s="1"/>
  <c r="AR33" i="5"/>
  <c r="AR73" i="5" s="1"/>
  <c r="AZ33" i="5"/>
  <c r="AZ73" i="5" s="1"/>
  <c r="BH33" i="5"/>
  <c r="BH73" i="5" s="1"/>
  <c r="J27" i="4"/>
  <c r="J67" i="4" s="1"/>
  <c r="R27" i="4"/>
  <c r="R67" i="4" s="1"/>
  <c r="Z27" i="4"/>
  <c r="AH27" i="4"/>
  <c r="AP27" i="4"/>
  <c r="AX27" i="4"/>
  <c r="BF27" i="4"/>
  <c r="BN27" i="4"/>
  <c r="I28" i="4"/>
  <c r="I68" i="4" s="1"/>
  <c r="Q28" i="4"/>
  <c r="Q68" i="4" s="1"/>
  <c r="Y28" i="4"/>
  <c r="AG28" i="4"/>
  <c r="AO28" i="4"/>
  <c r="AW28" i="4"/>
  <c r="BE28" i="4"/>
  <c r="BM28" i="4"/>
  <c r="H27" i="4"/>
  <c r="H67" i="4" s="1"/>
  <c r="AF27" i="4"/>
  <c r="BD27" i="4"/>
  <c r="Q27" i="4"/>
  <c r="AO27" i="4"/>
  <c r="BE27" i="4"/>
  <c r="C27" i="4"/>
  <c r="K27" i="4"/>
  <c r="K67" i="4" s="1"/>
  <c r="S27" i="4"/>
  <c r="AA27" i="4"/>
  <c r="AI27" i="4"/>
  <c r="AQ27" i="4"/>
  <c r="AY27" i="4"/>
  <c r="BG27" i="4"/>
  <c r="BO27" i="4"/>
  <c r="J28" i="4"/>
  <c r="J68" i="4" s="1"/>
  <c r="R28" i="4"/>
  <c r="R68" i="4" s="1"/>
  <c r="Z28" i="4"/>
  <c r="AH28" i="4"/>
  <c r="AP28" i="4"/>
  <c r="AX28" i="4"/>
  <c r="BF28" i="4"/>
  <c r="BN28" i="4"/>
  <c r="AF33" i="4"/>
  <c r="AN33" i="4"/>
  <c r="AV33" i="4"/>
  <c r="BD33" i="4"/>
  <c r="BL33" i="4"/>
  <c r="F34" i="4"/>
  <c r="F74" i="4" s="1"/>
  <c r="N34" i="4"/>
  <c r="N74" i="4" s="1"/>
  <c r="V34" i="4"/>
  <c r="AD34" i="4"/>
  <c r="AL34" i="4"/>
  <c r="AT34" i="4"/>
  <c r="BB34" i="4"/>
  <c r="BJ34" i="4"/>
  <c r="P27" i="4"/>
  <c r="AN27" i="4"/>
  <c r="BL27" i="4"/>
  <c r="I27" i="4"/>
  <c r="I67" i="4" s="1"/>
  <c r="Y27" i="4"/>
  <c r="AG27" i="4"/>
  <c r="AW27" i="4"/>
  <c r="BM27" i="4"/>
  <c r="D27" i="4"/>
  <c r="D67" i="4" s="1"/>
  <c r="L27" i="4"/>
  <c r="L67" i="4" s="1"/>
  <c r="T27" i="4"/>
  <c r="AB27" i="4"/>
  <c r="AJ27" i="4"/>
  <c r="AR27" i="4"/>
  <c r="AZ27" i="4"/>
  <c r="BH27" i="4"/>
  <c r="C28" i="4"/>
  <c r="C68" i="4" s="1"/>
  <c r="K28" i="4"/>
  <c r="K68" i="4" s="1"/>
  <c r="S28" i="4"/>
  <c r="AA28" i="4"/>
  <c r="AI28" i="4"/>
  <c r="AQ28" i="4"/>
  <c r="AY28" i="4"/>
  <c r="BG28" i="4"/>
  <c r="BO28" i="4"/>
  <c r="J29" i="4"/>
  <c r="J69" i="4" s="1"/>
  <c r="R29" i="4"/>
  <c r="Z29" i="4"/>
  <c r="AH29" i="4"/>
  <c r="AP29" i="4"/>
  <c r="AX29" i="4"/>
  <c r="BF29" i="4"/>
  <c r="BN29" i="4"/>
  <c r="I33" i="4"/>
  <c r="I73" i="4" s="1"/>
  <c r="Q33" i="4"/>
  <c r="Q73" i="4" s="1"/>
  <c r="Y33" i="4"/>
  <c r="AG33" i="4"/>
  <c r="AO33" i="4"/>
  <c r="AW33" i="4"/>
  <c r="BE33" i="4"/>
  <c r="BM33" i="4"/>
  <c r="G34" i="4"/>
  <c r="O34" i="4"/>
  <c r="W34" i="4"/>
  <c r="AE34" i="4"/>
  <c r="AM34" i="4"/>
  <c r="AU34" i="4"/>
  <c r="BC34" i="4"/>
  <c r="BK34" i="4"/>
  <c r="X27" i="4"/>
  <c r="AV27" i="4"/>
  <c r="E27" i="4"/>
  <c r="E67" i="4" s="1"/>
  <c r="M27" i="4"/>
  <c r="M67" i="4" s="1"/>
  <c r="U27" i="4"/>
  <c r="AC27" i="4"/>
  <c r="AK27" i="4"/>
  <c r="AS27" i="4"/>
  <c r="BA27" i="4"/>
  <c r="BI27" i="4"/>
  <c r="F27" i="4"/>
  <c r="F67" i="4" s="1"/>
  <c r="N27" i="4"/>
  <c r="N67" i="4" s="1"/>
  <c r="V27" i="4"/>
  <c r="AD27" i="4"/>
  <c r="AL27" i="4"/>
  <c r="AT27" i="4"/>
  <c r="BB27" i="4"/>
  <c r="BJ27" i="4"/>
  <c r="E28" i="4"/>
  <c r="E68" i="4" s="1"/>
  <c r="M28" i="4"/>
  <c r="M68" i="4" s="1"/>
  <c r="U28" i="4"/>
  <c r="AC28" i="4"/>
  <c r="AK28" i="4"/>
  <c r="AS28" i="4"/>
  <c r="BA28" i="4"/>
  <c r="BH29" i="4"/>
  <c r="C33" i="4"/>
  <c r="C73" i="4" s="1"/>
  <c r="K33" i="4"/>
  <c r="K73" i="4" s="1"/>
  <c r="S33" i="4"/>
  <c r="S73" i="4" s="1"/>
  <c r="AA33" i="4"/>
  <c r="AI33" i="4"/>
  <c r="AQ33" i="4"/>
  <c r="AY33" i="4"/>
  <c r="BG33" i="4"/>
  <c r="BO33" i="4"/>
  <c r="I34" i="4"/>
  <c r="I74" i="4" s="1"/>
  <c r="Q34" i="4"/>
  <c r="Q74" i="4" s="1"/>
  <c r="Y34" i="4"/>
  <c r="AG34" i="4"/>
  <c r="AO34" i="4"/>
  <c r="AW34" i="4"/>
  <c r="BE34" i="4"/>
  <c r="BM34" i="4"/>
  <c r="D69" i="4"/>
  <c r="F68" i="4"/>
  <c r="N68" i="4"/>
  <c r="F69" i="4"/>
  <c r="O64" i="4"/>
  <c r="P64" i="4" s="1"/>
  <c r="Q64" i="4" s="1"/>
  <c r="R64" i="4" s="1"/>
  <c r="S64" i="4" s="1"/>
  <c r="G73" i="4"/>
  <c r="H10" i="4"/>
  <c r="I10" i="4" s="1"/>
  <c r="J10" i="4" s="1"/>
  <c r="K10" i="4" s="1"/>
  <c r="L10" i="4" s="1"/>
  <c r="M10" i="4" s="1"/>
  <c r="N10" i="4" s="1"/>
  <c r="O10" i="4" s="1"/>
  <c r="P10" i="4" s="1"/>
  <c r="Q10" i="4" s="1"/>
  <c r="R10" i="4" s="1"/>
  <c r="S10" i="4" s="1"/>
  <c r="T10" i="4" s="1"/>
  <c r="U10" i="4" s="1"/>
  <c r="V10" i="4" s="1"/>
  <c r="W10" i="4" s="1"/>
  <c r="X10" i="4" s="1"/>
  <c r="Y10" i="4" s="1"/>
  <c r="Z10" i="4" s="1"/>
  <c r="AA10" i="4" s="1"/>
  <c r="AB10" i="4" s="1"/>
  <c r="AC10" i="4" s="1"/>
  <c r="AD10" i="4" s="1"/>
  <c r="AE10" i="4" s="1"/>
  <c r="AF10" i="4" s="1"/>
  <c r="AG10" i="4" s="1"/>
  <c r="AH10" i="4" s="1"/>
  <c r="AI10" i="4" s="1"/>
  <c r="AJ10" i="4" s="1"/>
  <c r="AK10" i="4" s="1"/>
  <c r="AL10" i="4" s="1"/>
  <c r="AM10" i="4" s="1"/>
  <c r="AN10" i="4" s="1"/>
  <c r="AO10" i="4" s="1"/>
  <c r="AP10" i="4" s="1"/>
  <c r="AQ10" i="4" s="1"/>
  <c r="AR10" i="4" s="1"/>
  <c r="AS10" i="4" s="1"/>
  <c r="AT10" i="4" s="1"/>
  <c r="AU10" i="4" s="1"/>
  <c r="AV10" i="4" s="1"/>
  <c r="AW10" i="4" s="1"/>
  <c r="AX10" i="4" s="1"/>
  <c r="AY10" i="4" s="1"/>
  <c r="AZ10" i="4" s="1"/>
  <c r="BA10" i="4" s="1"/>
  <c r="BB10" i="4" s="1"/>
  <c r="BC10" i="4" s="1"/>
  <c r="BD10" i="4" s="1"/>
  <c r="BE10" i="4" s="1"/>
  <c r="BF10" i="4" s="1"/>
  <c r="BG10" i="4" s="1"/>
  <c r="BH10" i="4" s="1"/>
  <c r="BI10" i="4" s="1"/>
  <c r="BJ10" i="4" s="1"/>
  <c r="BK10" i="4" s="1"/>
  <c r="BL10" i="4" s="1"/>
  <c r="BM10" i="4" s="1"/>
  <c r="BN10" i="4" s="1"/>
  <c r="BO10" i="4" s="1"/>
  <c r="G68" i="4"/>
  <c r="E69" i="4"/>
  <c r="R73" i="4"/>
  <c r="H74" i="4"/>
  <c r="P74" i="4"/>
  <c r="I69" i="4"/>
  <c r="M69" i="4"/>
  <c r="L68" i="4"/>
  <c r="M73" i="4"/>
  <c r="C69" i="4"/>
  <c r="K69" i="4"/>
  <c r="S69" i="4"/>
  <c r="F73" i="4"/>
  <c r="N73" i="4"/>
  <c r="D74" i="4"/>
  <c r="L74" i="4"/>
  <c r="P69" i="4"/>
  <c r="D89" i="4"/>
  <c r="C127" i="4"/>
  <c r="M67" i="5"/>
  <c r="U67" i="5"/>
  <c r="AS67" i="5"/>
  <c r="BA67" i="5"/>
  <c r="K68" i="5"/>
  <c r="S68" i="5"/>
  <c r="AQ68" i="5"/>
  <c r="AY68" i="5"/>
  <c r="BG68" i="5"/>
  <c r="N67" i="5"/>
  <c r="BB67" i="5"/>
  <c r="D68" i="5"/>
  <c r="T68" i="5"/>
  <c r="AB68" i="5"/>
  <c r="AJ68" i="5"/>
  <c r="AX67" i="5"/>
  <c r="BF67" i="5"/>
  <c r="C67" i="5"/>
  <c r="K67" i="5"/>
  <c r="AI67" i="5"/>
  <c r="BG67" i="5"/>
  <c r="BO67" i="5"/>
  <c r="BM68" i="5"/>
  <c r="L67" i="5"/>
  <c r="J68" i="5"/>
  <c r="I69" i="5"/>
  <c r="Q69" i="5"/>
  <c r="Y69" i="5"/>
  <c r="AD69" i="5"/>
  <c r="AT69" i="5"/>
  <c r="BB69" i="5"/>
  <c r="AB70" i="5"/>
  <c r="R71" i="5"/>
  <c r="AX71" i="5"/>
  <c r="BF71" i="5"/>
  <c r="X72" i="5"/>
  <c r="AV72" i="5"/>
  <c r="G73" i="5"/>
  <c r="O73" i="5"/>
  <c r="W73" i="5"/>
  <c r="AE73" i="5"/>
  <c r="AM73" i="5"/>
  <c r="BK73" i="5"/>
  <c r="AC74" i="5"/>
  <c r="AK74" i="5"/>
  <c r="AS74" i="5"/>
  <c r="AC70" i="5"/>
  <c r="S71" i="5"/>
  <c r="AA71" i="5"/>
  <c r="Q72" i="5"/>
  <c r="AG72" i="5"/>
  <c r="BM72" i="5"/>
  <c r="P73" i="5"/>
  <c r="AV73" i="5"/>
  <c r="BD73" i="5"/>
  <c r="F74" i="5"/>
  <c r="BL69" i="5"/>
  <c r="V70" i="5"/>
  <c r="AT70" i="5"/>
  <c r="BH71" i="5"/>
  <c r="J72" i="5"/>
  <c r="AH72" i="5"/>
  <c r="AY72" i="5"/>
  <c r="BD70" i="5"/>
  <c r="O67" i="5"/>
  <c r="AM67" i="5"/>
  <c r="BK67" i="5"/>
  <c r="G71" i="5"/>
  <c r="AE71" i="5"/>
  <c r="BC71" i="5"/>
  <c r="BK71" i="5"/>
  <c r="D73" i="5"/>
  <c r="AH74" i="5"/>
  <c r="AX74" i="5"/>
  <c r="X67" i="5"/>
  <c r="AF67" i="5"/>
  <c r="BL67" i="5"/>
  <c r="H71" i="5"/>
  <c r="AN71" i="5"/>
  <c r="BL71" i="5"/>
  <c r="V72" i="5"/>
  <c r="AL72" i="5"/>
  <c r="BB72" i="5"/>
  <c r="E73" i="5"/>
  <c r="M73" i="5"/>
  <c r="AK73" i="5"/>
  <c r="AS73" i="5"/>
  <c r="BI73" i="5"/>
  <c r="S74" i="5"/>
  <c r="BE67" i="5"/>
  <c r="BM67" i="5"/>
  <c r="G68" i="5"/>
  <c r="O68" i="5"/>
  <c r="W68" i="5"/>
  <c r="AM68" i="5"/>
  <c r="BK68" i="5"/>
  <c r="E69" i="5"/>
  <c r="M69" i="5"/>
  <c r="U69" i="5"/>
  <c r="AK69" i="5"/>
  <c r="BA69" i="5"/>
  <c r="BI69" i="5"/>
  <c r="AQ70" i="5"/>
  <c r="BO70" i="5"/>
  <c r="I71" i="5"/>
  <c r="Q71" i="5"/>
  <c r="AO71" i="5"/>
  <c r="O72" i="5"/>
  <c r="W72" i="5"/>
  <c r="BK72" i="5"/>
  <c r="V73" i="5"/>
  <c r="AD73" i="5"/>
  <c r="AL73" i="5"/>
  <c r="AT73" i="5"/>
  <c r="BO72" i="5"/>
  <c r="I73" i="5"/>
  <c r="Q73" i="5"/>
  <c r="Y73" i="5"/>
  <c r="AG73" i="5"/>
  <c r="BE73" i="5"/>
  <c r="AM74" i="5"/>
  <c r="J73" i="5"/>
  <c r="R73" i="5"/>
  <c r="Z73" i="5"/>
  <c r="AP73" i="5"/>
  <c r="AX73" i="5"/>
  <c r="BF73" i="5"/>
  <c r="AV74" i="5"/>
  <c r="BD74" i="5"/>
  <c r="BL74" i="5"/>
  <c r="BO73" i="5"/>
  <c r="D89" i="5"/>
  <c r="G35" i="8"/>
  <c r="F35" i="8"/>
  <c r="B256" i="8"/>
  <c r="B263" i="8" s="1"/>
  <c r="B253" i="8"/>
  <c r="B261" i="8" s="1"/>
  <c r="G36" i="8"/>
  <c r="F65" i="8"/>
  <c r="E62" i="8"/>
  <c r="F62" i="8" s="1"/>
  <c r="B108" i="9"/>
  <c r="B111" i="9" s="1"/>
  <c r="J96" i="9"/>
  <c r="C108" i="9"/>
  <c r="C111" i="9" s="1"/>
  <c r="E94" i="9"/>
  <c r="B260" i="8"/>
  <c r="AX35" i="5" l="1"/>
  <c r="Q69" i="4"/>
  <c r="Q67" i="4"/>
  <c r="BJ35" i="5"/>
  <c r="G82" i="9"/>
  <c r="BG35" i="5"/>
  <c r="O69" i="4"/>
  <c r="P73" i="4"/>
  <c r="BO65" i="5"/>
  <c r="P35" i="5"/>
  <c r="O74" i="4"/>
  <c r="O68" i="4"/>
  <c r="E11" i="4"/>
  <c r="E21" i="4" s="1"/>
  <c r="BB35" i="5"/>
  <c r="S68" i="4"/>
  <c r="G84" i="9"/>
  <c r="F84" i="9" s="1"/>
  <c r="P67" i="5"/>
  <c r="BJ67" i="5"/>
  <c r="BG69" i="5"/>
  <c r="AA35" i="5"/>
  <c r="C68" i="5"/>
  <c r="AS65" i="5"/>
  <c r="R65" i="5"/>
  <c r="M65" i="5"/>
  <c r="F11" i="5"/>
  <c r="F20" i="5" s="1"/>
  <c r="F43" i="5" s="1"/>
  <c r="D12" i="5"/>
  <c r="L35" i="5"/>
  <c r="BK65" i="5"/>
  <c r="BH65" i="5"/>
  <c r="AU35" i="5"/>
  <c r="AU36" i="5" s="1"/>
  <c r="BA65" i="5"/>
  <c r="BK35" i="5"/>
  <c r="BK36" i="5" s="1"/>
  <c r="BB65" i="5"/>
  <c r="AS35" i="5"/>
  <c r="AS72" i="5"/>
  <c r="BL65" i="5"/>
  <c r="BH35" i="5"/>
  <c r="L65" i="5"/>
  <c r="G11" i="5"/>
  <c r="G19" i="5" s="1"/>
  <c r="G42" i="5" s="1"/>
  <c r="BE65" i="5"/>
  <c r="R72" i="5"/>
  <c r="R75" i="5" s="1"/>
  <c r="S65" i="5"/>
  <c r="D35" i="5"/>
  <c r="D36" i="5" s="1"/>
  <c r="AD65" i="5"/>
  <c r="S35" i="5"/>
  <c r="BG65" i="5"/>
  <c r="BJ65" i="5"/>
  <c r="AF35" i="5"/>
  <c r="BN65" i="5"/>
  <c r="T35" i="5"/>
  <c r="T36" i="5" s="1"/>
  <c r="V35" i="5"/>
  <c r="V36" i="5" s="1"/>
  <c r="M70" i="5"/>
  <c r="T65" i="5"/>
  <c r="AQ65" i="5"/>
  <c r="BI65" i="5"/>
  <c r="AS68" i="5"/>
  <c r="AS75" i="5" s="1"/>
  <c r="Q35" i="5"/>
  <c r="Q36" i="5" s="1"/>
  <c r="R35" i="5"/>
  <c r="AF65" i="5"/>
  <c r="B28" i="5"/>
  <c r="V65" i="5"/>
  <c r="AM35" i="5"/>
  <c r="AM36" i="5" s="1"/>
  <c r="X65" i="5"/>
  <c r="BA35" i="5"/>
  <c r="BA36" i="5" s="1"/>
  <c r="BH67" i="5"/>
  <c r="BH75" i="5" s="1"/>
  <c r="BL35" i="5"/>
  <c r="BL36" i="5" s="1"/>
  <c r="K65" i="5"/>
  <c r="AO35" i="5"/>
  <c r="AO36" i="5" s="1"/>
  <c r="L74" i="5"/>
  <c r="L75" i="5" s="1"/>
  <c r="AH35" i="5"/>
  <c r="AH36" i="5" s="1"/>
  <c r="AW65" i="5"/>
  <c r="AM65" i="5"/>
  <c r="AL35" i="5"/>
  <c r="AE65" i="5"/>
  <c r="AD35" i="5"/>
  <c r="AD36" i="5" s="1"/>
  <c r="BO35" i="5"/>
  <c r="BO36" i="5" s="1"/>
  <c r="F9" i="5"/>
  <c r="F9" i="4"/>
  <c r="C9" i="4"/>
  <c r="C9" i="5"/>
  <c r="E14" i="5"/>
  <c r="E24" i="5" s="1"/>
  <c r="E47" i="5" s="1"/>
  <c r="E14" i="4"/>
  <c r="E24" i="4" s="1"/>
  <c r="E47" i="4" s="1"/>
  <c r="E60" i="4" s="1"/>
  <c r="E11" i="5"/>
  <c r="E20" i="5" s="1"/>
  <c r="E43" i="5" s="1"/>
  <c r="B29" i="4"/>
  <c r="B27" i="4"/>
  <c r="F19" i="4"/>
  <c r="F42" i="4" s="1"/>
  <c r="F55" i="4" s="1"/>
  <c r="C10" i="4"/>
  <c r="C11" i="4" s="1"/>
  <c r="C21" i="4" s="1"/>
  <c r="C10" i="5"/>
  <c r="C11" i="5" s="1"/>
  <c r="C18" i="5" s="1"/>
  <c r="C41" i="5" s="1"/>
  <c r="F12" i="5"/>
  <c r="F12" i="4"/>
  <c r="E13" i="4"/>
  <c r="E13" i="5"/>
  <c r="F14" i="5"/>
  <c r="F24" i="5" s="1"/>
  <c r="F47" i="5" s="1"/>
  <c r="F14" i="4"/>
  <c r="F24" i="4" s="1"/>
  <c r="F47" i="4" s="1"/>
  <c r="F60" i="4" s="1"/>
  <c r="E9" i="4"/>
  <c r="E9" i="5"/>
  <c r="D10" i="5"/>
  <c r="D11" i="5" s="1"/>
  <c r="D21" i="5" s="1"/>
  <c r="D44" i="5" s="1"/>
  <c r="D10" i="4"/>
  <c r="D11" i="4" s="1"/>
  <c r="D21" i="4" s="1"/>
  <c r="C13" i="5"/>
  <c r="C23" i="5" s="1"/>
  <c r="C46" i="5" s="1"/>
  <c r="C13" i="4"/>
  <c r="C23" i="4" s="1"/>
  <c r="C46" i="4" s="1"/>
  <c r="C14" i="4"/>
  <c r="C24" i="4" s="1"/>
  <c r="C47" i="4" s="1"/>
  <c r="C60" i="4" s="1"/>
  <c r="C14" i="5"/>
  <c r="C24" i="5" s="1"/>
  <c r="C47" i="5" s="1"/>
  <c r="E12" i="4"/>
  <c r="E12" i="5"/>
  <c r="G14" i="5"/>
  <c r="G14" i="4"/>
  <c r="B194" i="8"/>
  <c r="G9" i="4"/>
  <c r="H9" i="4" s="1"/>
  <c r="I9" i="4" s="1"/>
  <c r="J9" i="4" s="1"/>
  <c r="K9" i="4" s="1"/>
  <c r="L9" i="4" s="1"/>
  <c r="M9" i="4" s="1"/>
  <c r="N9" i="4" s="1"/>
  <c r="O9" i="4" s="1"/>
  <c r="P9" i="4" s="1"/>
  <c r="Q9" i="4" s="1"/>
  <c r="R9" i="4" s="1"/>
  <c r="S9" i="4" s="1"/>
  <c r="T9" i="4" s="1"/>
  <c r="U9" i="4" s="1"/>
  <c r="V9" i="4" s="1"/>
  <c r="W9" i="4" s="1"/>
  <c r="X9" i="4" s="1"/>
  <c r="Y9" i="4" s="1"/>
  <c r="Z9" i="4" s="1"/>
  <c r="AA9" i="4" s="1"/>
  <c r="AB9" i="4" s="1"/>
  <c r="AC9" i="4" s="1"/>
  <c r="AD9" i="4" s="1"/>
  <c r="AE9" i="4" s="1"/>
  <c r="AF9" i="4" s="1"/>
  <c r="AG9" i="4" s="1"/>
  <c r="AH9" i="4" s="1"/>
  <c r="AI9" i="4" s="1"/>
  <c r="AJ9" i="4" s="1"/>
  <c r="AK9" i="4" s="1"/>
  <c r="AL9" i="4" s="1"/>
  <c r="AM9" i="4" s="1"/>
  <c r="AN9" i="4" s="1"/>
  <c r="AO9" i="4" s="1"/>
  <c r="AP9" i="4" s="1"/>
  <c r="AQ9" i="4" s="1"/>
  <c r="AR9" i="4" s="1"/>
  <c r="AS9" i="4" s="1"/>
  <c r="AT9" i="4" s="1"/>
  <c r="AU9" i="4" s="1"/>
  <c r="AV9" i="4" s="1"/>
  <c r="AW9" i="4" s="1"/>
  <c r="AX9" i="4" s="1"/>
  <c r="AY9" i="4" s="1"/>
  <c r="AZ9" i="4" s="1"/>
  <c r="BA9" i="4" s="1"/>
  <c r="BB9" i="4" s="1"/>
  <c r="BC9" i="4" s="1"/>
  <c r="BD9" i="4" s="1"/>
  <c r="BE9" i="4" s="1"/>
  <c r="BF9" i="4" s="1"/>
  <c r="BG9" i="4" s="1"/>
  <c r="BH9" i="4" s="1"/>
  <c r="BI9" i="4" s="1"/>
  <c r="BJ9" i="4" s="1"/>
  <c r="BK9" i="4" s="1"/>
  <c r="BL9" i="4" s="1"/>
  <c r="BM9" i="4" s="1"/>
  <c r="BN9" i="4" s="1"/>
  <c r="BO9" i="4" s="1"/>
  <c r="G9" i="5"/>
  <c r="H9" i="5" s="1"/>
  <c r="I9" i="5" s="1"/>
  <c r="J9" i="5" s="1"/>
  <c r="K9" i="5" s="1"/>
  <c r="L9" i="5" s="1"/>
  <c r="M9" i="5" s="1"/>
  <c r="N9" i="5" s="1"/>
  <c r="O9" i="5" s="1"/>
  <c r="P9" i="5" s="1"/>
  <c r="Q9" i="5" s="1"/>
  <c r="R9" i="5" s="1"/>
  <c r="S9" i="5" s="1"/>
  <c r="T9" i="5" s="1"/>
  <c r="U9" i="5" s="1"/>
  <c r="V9" i="5" s="1"/>
  <c r="W9" i="5" s="1"/>
  <c r="X9" i="5" s="1"/>
  <c r="Y9" i="5" s="1"/>
  <c r="Z9" i="5" s="1"/>
  <c r="AA9" i="5" s="1"/>
  <c r="AB9" i="5" s="1"/>
  <c r="AC9" i="5" s="1"/>
  <c r="AD9" i="5" s="1"/>
  <c r="AE9" i="5" s="1"/>
  <c r="AF9" i="5" s="1"/>
  <c r="AG9" i="5" s="1"/>
  <c r="AH9" i="5" s="1"/>
  <c r="AI9" i="5" s="1"/>
  <c r="AJ9" i="5" s="1"/>
  <c r="AK9" i="5" s="1"/>
  <c r="AL9" i="5" s="1"/>
  <c r="AM9" i="5" s="1"/>
  <c r="AN9" i="5" s="1"/>
  <c r="AO9" i="5" s="1"/>
  <c r="AP9" i="5" s="1"/>
  <c r="AQ9" i="5" s="1"/>
  <c r="AR9" i="5" s="1"/>
  <c r="AS9" i="5" s="1"/>
  <c r="AT9" i="5" s="1"/>
  <c r="AU9" i="5" s="1"/>
  <c r="AV9" i="5" s="1"/>
  <c r="AW9" i="5" s="1"/>
  <c r="AX9" i="5" s="1"/>
  <c r="AY9" i="5" s="1"/>
  <c r="AZ9" i="5" s="1"/>
  <c r="BA9" i="5" s="1"/>
  <c r="BB9" i="5" s="1"/>
  <c r="BC9" i="5" s="1"/>
  <c r="BD9" i="5" s="1"/>
  <c r="BE9" i="5" s="1"/>
  <c r="BF9" i="5" s="1"/>
  <c r="BG9" i="5" s="1"/>
  <c r="BH9" i="5" s="1"/>
  <c r="BI9" i="5" s="1"/>
  <c r="BJ9" i="5" s="1"/>
  <c r="BK9" i="5" s="1"/>
  <c r="BL9" i="5" s="1"/>
  <c r="BM9" i="5" s="1"/>
  <c r="BN9" i="5" s="1"/>
  <c r="BO9" i="5" s="1"/>
  <c r="G13" i="4"/>
  <c r="H13" i="4" s="1"/>
  <c r="I13" i="4" s="1"/>
  <c r="G12" i="5"/>
  <c r="H12" i="5" s="1"/>
  <c r="I12" i="5" s="1"/>
  <c r="G13" i="5"/>
  <c r="H13" i="5" s="1"/>
  <c r="I13" i="5" s="1"/>
  <c r="G12" i="4"/>
  <c r="H12" i="4" s="1"/>
  <c r="I12" i="4" s="1"/>
  <c r="J12" i="4" s="1"/>
  <c r="F13" i="4"/>
  <c r="F13" i="5"/>
  <c r="D13" i="5"/>
  <c r="D23" i="5" s="1"/>
  <c r="D46" i="5" s="1"/>
  <c r="D13" i="4"/>
  <c r="D23" i="4" s="1"/>
  <c r="D46" i="4" s="1"/>
  <c r="D59" i="4" s="1"/>
  <c r="G11" i="4"/>
  <c r="D9" i="5"/>
  <c r="D9" i="4"/>
  <c r="B55" i="8"/>
  <c r="E67" i="8" s="1"/>
  <c r="F67" i="8" s="1"/>
  <c r="C12" i="4"/>
  <c r="C12" i="5"/>
  <c r="D14" i="5"/>
  <c r="D24" i="5" s="1"/>
  <c r="D47" i="5" s="1"/>
  <c r="D14" i="4"/>
  <c r="D24" i="4" s="1"/>
  <c r="D47" i="4" s="1"/>
  <c r="D60" i="4" s="1"/>
  <c r="F65" i="5"/>
  <c r="F70" i="5"/>
  <c r="F75" i="5" s="1"/>
  <c r="F35" i="5"/>
  <c r="F36" i="5" s="1"/>
  <c r="J67" i="5"/>
  <c r="J75" i="5" s="1"/>
  <c r="J35" i="5"/>
  <c r="J65" i="5"/>
  <c r="AQ73" i="5"/>
  <c r="B73" i="5" s="1"/>
  <c r="AC65" i="5"/>
  <c r="AK65" i="5"/>
  <c r="AR65" i="5"/>
  <c r="BC35" i="5"/>
  <c r="BC36" i="5" s="1"/>
  <c r="BC65" i="5"/>
  <c r="BC69" i="5"/>
  <c r="AQ35" i="5"/>
  <c r="N65" i="5"/>
  <c r="N70" i="5"/>
  <c r="N75" i="5" s="1"/>
  <c r="Y65" i="5"/>
  <c r="U35" i="5"/>
  <c r="U36" i="5" s="1"/>
  <c r="AJ35" i="5"/>
  <c r="AY65" i="5"/>
  <c r="AY35" i="5"/>
  <c r="AY67" i="5"/>
  <c r="AY75" i="5" s="1"/>
  <c r="B30" i="5"/>
  <c r="AV65" i="5"/>
  <c r="U65" i="5"/>
  <c r="BD65" i="5"/>
  <c r="BD35" i="5"/>
  <c r="BD36" i="5" s="1"/>
  <c r="BD67" i="5"/>
  <c r="BD75" i="5" s="1"/>
  <c r="G65" i="5"/>
  <c r="N35" i="5"/>
  <c r="N36" i="5" s="1"/>
  <c r="AI70" i="5"/>
  <c r="AI75" i="5" s="1"/>
  <c r="AI35" i="5"/>
  <c r="AI36" i="5" s="1"/>
  <c r="AI65" i="5"/>
  <c r="BI35" i="5"/>
  <c r="BI70" i="5"/>
  <c r="BI75" i="5" s="1"/>
  <c r="I35" i="5"/>
  <c r="I36" i="5" s="1"/>
  <c r="I67" i="5"/>
  <c r="I75" i="5" s="1"/>
  <c r="I65" i="5"/>
  <c r="B34" i="5"/>
  <c r="AP65" i="5"/>
  <c r="E65" i="5"/>
  <c r="E70" i="5"/>
  <c r="E75" i="5" s="1"/>
  <c r="E35" i="5"/>
  <c r="E36" i="5" s="1"/>
  <c r="AZ67" i="5"/>
  <c r="AZ75" i="5" s="1"/>
  <c r="AZ35" i="5"/>
  <c r="AZ36" i="5" s="1"/>
  <c r="AZ65" i="5"/>
  <c r="BF74" i="5"/>
  <c r="BF35" i="5"/>
  <c r="BF36" i="5" s="1"/>
  <c r="AE72" i="5"/>
  <c r="AE35" i="5"/>
  <c r="AT67" i="5"/>
  <c r="AT75" i="5" s="1"/>
  <c r="AT35" i="5"/>
  <c r="AT65" i="5"/>
  <c r="AP35" i="5"/>
  <c r="AP36" i="5" s="1"/>
  <c r="AF69" i="5"/>
  <c r="AF75" i="5" s="1"/>
  <c r="B29" i="5"/>
  <c r="Z35" i="5"/>
  <c r="Z36" i="5" s="1"/>
  <c r="BL75" i="5"/>
  <c r="B33" i="5"/>
  <c r="AN67" i="5"/>
  <c r="AN75" i="5" s="1"/>
  <c r="AN35" i="5"/>
  <c r="AN65" i="5"/>
  <c r="BF65" i="5"/>
  <c r="AC35" i="5"/>
  <c r="AC36" i="5" s="1"/>
  <c r="BN35" i="5"/>
  <c r="AJ65" i="5"/>
  <c r="M35" i="5"/>
  <c r="M36" i="5" s="1"/>
  <c r="AG35" i="5"/>
  <c r="AG36" i="5" s="1"/>
  <c r="AB35" i="5"/>
  <c r="H35" i="5"/>
  <c r="O65" i="5"/>
  <c r="AQ71" i="5"/>
  <c r="AA65" i="5"/>
  <c r="C35" i="5"/>
  <c r="B150" i="8" s="1"/>
  <c r="C115" i="9" s="1"/>
  <c r="AX65" i="5"/>
  <c r="Z65" i="5"/>
  <c r="B27" i="5"/>
  <c r="AL65" i="5"/>
  <c r="AW35" i="5"/>
  <c r="AW36" i="5" s="1"/>
  <c r="B31" i="5"/>
  <c r="K70" i="5"/>
  <c r="K75" i="5" s="1"/>
  <c r="K35" i="5"/>
  <c r="K36" i="5" s="1"/>
  <c r="V75" i="5"/>
  <c r="W35" i="5"/>
  <c r="W36" i="5" s="1"/>
  <c r="W65" i="5"/>
  <c r="AH65" i="5"/>
  <c r="AV35" i="5"/>
  <c r="AV36" i="5" s="1"/>
  <c r="X35" i="5"/>
  <c r="X36" i="5" s="1"/>
  <c r="O35" i="5"/>
  <c r="O36" i="5" s="1"/>
  <c r="C70" i="5"/>
  <c r="BF70" i="5"/>
  <c r="D71" i="5"/>
  <c r="D75" i="5" s="1"/>
  <c r="AU65" i="5"/>
  <c r="BM65" i="5"/>
  <c r="AG65" i="5"/>
  <c r="H65" i="5"/>
  <c r="AR35" i="5"/>
  <c r="AR36" i="5" s="1"/>
  <c r="AB65" i="5"/>
  <c r="D65" i="5"/>
  <c r="C65" i="5"/>
  <c r="AX75" i="5"/>
  <c r="AL67" i="5"/>
  <c r="AL75" i="5" s="1"/>
  <c r="BE35" i="5"/>
  <c r="BE36" i="5" s="1"/>
  <c r="Q65" i="5"/>
  <c r="C71" i="5"/>
  <c r="Y35" i="5"/>
  <c r="Y36" i="5" s="1"/>
  <c r="Q67" i="5"/>
  <c r="Q75" i="5" s="1"/>
  <c r="X75" i="5"/>
  <c r="AO65" i="5"/>
  <c r="P65" i="5"/>
  <c r="B32" i="5"/>
  <c r="G35" i="5"/>
  <c r="G36" i="5" s="1"/>
  <c r="G83" i="9"/>
  <c r="F83" i="9" s="1"/>
  <c r="AO67" i="5"/>
  <c r="AV67" i="5"/>
  <c r="AV75" i="5" s="1"/>
  <c r="AK35" i="5"/>
  <c r="AK36" i="5" s="1"/>
  <c r="AG67" i="5"/>
  <c r="AG75" i="5" s="1"/>
  <c r="H67" i="5"/>
  <c r="H75" i="5" s="1"/>
  <c r="BM35" i="5"/>
  <c r="BM36" i="5" s="1"/>
  <c r="C67" i="4"/>
  <c r="B34" i="4"/>
  <c r="D82" i="9"/>
  <c r="G74" i="4"/>
  <c r="R69" i="4"/>
  <c r="B28" i="4"/>
  <c r="B33" i="4"/>
  <c r="AH75" i="5"/>
  <c r="I36" i="8"/>
  <c r="BO32" i="4"/>
  <c r="BG32" i="4"/>
  <c r="AY32" i="4"/>
  <c r="AQ32" i="4"/>
  <c r="AI32" i="4"/>
  <c r="AA32" i="4"/>
  <c r="S32" i="4"/>
  <c r="K32" i="4"/>
  <c r="C32" i="4"/>
  <c r="BI31" i="4"/>
  <c r="BA31" i="4"/>
  <c r="AS31" i="4"/>
  <c r="AK31" i="4"/>
  <c r="AC31" i="4"/>
  <c r="U31" i="4"/>
  <c r="M31" i="4"/>
  <c r="E31" i="4"/>
  <c r="BN32" i="4"/>
  <c r="BF32" i="4"/>
  <c r="AX32" i="4"/>
  <c r="AP32" i="4"/>
  <c r="AH32" i="4"/>
  <c r="Z32" i="4"/>
  <c r="R32" i="4"/>
  <c r="J32" i="4"/>
  <c r="BH31" i="4"/>
  <c r="AZ31" i="4"/>
  <c r="AR31" i="4"/>
  <c r="AJ31" i="4"/>
  <c r="AB31" i="4"/>
  <c r="T31" i="4"/>
  <c r="L31" i="4"/>
  <c r="D31" i="4"/>
  <c r="BM32" i="4"/>
  <c r="BE32" i="4"/>
  <c r="AW32" i="4"/>
  <c r="AO32" i="4"/>
  <c r="AG32" i="4"/>
  <c r="Y32" i="4"/>
  <c r="Q32" i="4"/>
  <c r="I32" i="4"/>
  <c r="BO31" i="4"/>
  <c r="BG31" i="4"/>
  <c r="AY31" i="4"/>
  <c r="AQ31" i="4"/>
  <c r="AI31" i="4"/>
  <c r="AA31" i="4"/>
  <c r="S31" i="4"/>
  <c r="K31" i="4"/>
  <c r="C31" i="4"/>
  <c r="BI32" i="4"/>
  <c r="AU32" i="4"/>
  <c r="AJ32" i="4"/>
  <c r="V32" i="4"/>
  <c r="H32" i="4"/>
  <c r="BK31" i="4"/>
  <c r="AW31" i="4"/>
  <c r="AL31" i="4"/>
  <c r="X31" i="4"/>
  <c r="J31" i="4"/>
  <c r="BH32" i="4"/>
  <c r="AT32" i="4"/>
  <c r="AF32" i="4"/>
  <c r="U32" i="4"/>
  <c r="G32" i="4"/>
  <c r="BJ31" i="4"/>
  <c r="AV31" i="4"/>
  <c r="AH31" i="4"/>
  <c r="W31" i="4"/>
  <c r="I31" i="4"/>
  <c r="BD32" i="4"/>
  <c r="AS32" i="4"/>
  <c r="AE32" i="4"/>
  <c r="T32" i="4"/>
  <c r="F32" i="4"/>
  <c r="BF31" i="4"/>
  <c r="AU31" i="4"/>
  <c r="AG31" i="4"/>
  <c r="V31" i="4"/>
  <c r="H31" i="4"/>
  <c r="BC32" i="4"/>
  <c r="AR32" i="4"/>
  <c r="AD32" i="4"/>
  <c r="P32" i="4"/>
  <c r="E32" i="4"/>
  <c r="BE31" i="4"/>
  <c r="AT31" i="4"/>
  <c r="AF31" i="4"/>
  <c r="R31" i="4"/>
  <c r="G31" i="4"/>
  <c r="BB32" i="4"/>
  <c r="AN32" i="4"/>
  <c r="AC32" i="4"/>
  <c r="O32" i="4"/>
  <c r="D32" i="4"/>
  <c r="BD31" i="4"/>
  <c r="AP31" i="4"/>
  <c r="AE31" i="4"/>
  <c r="Q31" i="4"/>
  <c r="F31" i="4"/>
  <c r="BK32" i="4"/>
  <c r="AZ32" i="4"/>
  <c r="AL32" i="4"/>
  <c r="X32" i="4"/>
  <c r="M32" i="4"/>
  <c r="BM31" i="4"/>
  <c r="BB31" i="4"/>
  <c r="AN31" i="4"/>
  <c r="Z31" i="4"/>
  <c r="O31" i="4"/>
  <c r="BL32" i="4"/>
  <c r="N32" i="4"/>
  <c r="AD31" i="4"/>
  <c r="BJ32" i="4"/>
  <c r="L32" i="4"/>
  <c r="Y31" i="4"/>
  <c r="BA32" i="4"/>
  <c r="BN31" i="4"/>
  <c r="P31" i="4"/>
  <c r="AV32" i="4"/>
  <c r="BL31" i="4"/>
  <c r="N31" i="4"/>
  <c r="AM32" i="4"/>
  <c r="BC31" i="4"/>
  <c r="AK32" i="4"/>
  <c r="AX31" i="4"/>
  <c r="AB32" i="4"/>
  <c r="AO31" i="4"/>
  <c r="W32" i="4"/>
  <c r="AM31" i="4"/>
  <c r="L36" i="5"/>
  <c r="AC75" i="5"/>
  <c r="BO75" i="5"/>
  <c r="F82" i="9"/>
  <c r="F18" i="4"/>
  <c r="F41" i="4" s="1"/>
  <c r="F54" i="4" s="1"/>
  <c r="F18" i="5"/>
  <c r="F41" i="5" s="1"/>
  <c r="AA36" i="5"/>
  <c r="AO75" i="5"/>
  <c r="AX36" i="5"/>
  <c r="W75" i="5"/>
  <c r="BJ36" i="5"/>
  <c r="AD75" i="5"/>
  <c r="E82" i="9"/>
  <c r="I35" i="8"/>
  <c r="BK30" i="4"/>
  <c r="BC30" i="4"/>
  <c r="AU30" i="4"/>
  <c r="AM30" i="4"/>
  <c r="AE30" i="4"/>
  <c r="W30" i="4"/>
  <c r="O30" i="4"/>
  <c r="G30" i="4"/>
  <c r="BJ30" i="4"/>
  <c r="BB30" i="4"/>
  <c r="AT30" i="4"/>
  <c r="AL30" i="4"/>
  <c r="AD30" i="4"/>
  <c r="V30" i="4"/>
  <c r="N30" i="4"/>
  <c r="F30" i="4"/>
  <c r="BI30" i="4"/>
  <c r="BA30" i="4"/>
  <c r="AS30" i="4"/>
  <c r="AK30" i="4"/>
  <c r="AC30" i="4"/>
  <c r="U30" i="4"/>
  <c r="M30" i="4"/>
  <c r="E30" i="4"/>
  <c r="BM30" i="4"/>
  <c r="AY30" i="4"/>
  <c r="AN30" i="4"/>
  <c r="Z30" i="4"/>
  <c r="L30" i="4"/>
  <c r="BL30" i="4"/>
  <c r="AX30" i="4"/>
  <c r="AJ30" i="4"/>
  <c r="Y30" i="4"/>
  <c r="K30" i="4"/>
  <c r="BH30" i="4"/>
  <c r="AW30" i="4"/>
  <c r="AI30" i="4"/>
  <c r="X30" i="4"/>
  <c r="J30" i="4"/>
  <c r="BG30" i="4"/>
  <c r="AV30" i="4"/>
  <c r="AH30" i="4"/>
  <c r="T30" i="4"/>
  <c r="I30" i="4"/>
  <c r="BF30" i="4"/>
  <c r="AR30" i="4"/>
  <c r="AG30" i="4"/>
  <c r="S30" i="4"/>
  <c r="H30" i="4"/>
  <c r="BO30" i="4"/>
  <c r="BD30" i="4"/>
  <c r="AP30" i="4"/>
  <c r="AB30" i="4"/>
  <c r="Q30" i="4"/>
  <c r="C30" i="4"/>
  <c r="AQ30" i="4"/>
  <c r="AO30" i="4"/>
  <c r="AF30" i="4"/>
  <c r="AA30" i="4"/>
  <c r="R30" i="4"/>
  <c r="BN30" i="4"/>
  <c r="P30" i="4"/>
  <c r="BE30" i="4"/>
  <c r="D30" i="4"/>
  <c r="AZ30" i="4"/>
  <c r="B262" i="8"/>
  <c r="AE36" i="5"/>
  <c r="P36" i="5"/>
  <c r="AL36" i="5"/>
  <c r="AS36" i="5"/>
  <c r="BH36" i="5"/>
  <c r="BA75" i="5"/>
  <c r="M75" i="5"/>
  <c r="BE75" i="5"/>
  <c r="AU75" i="5"/>
  <c r="O75" i="5"/>
  <c r="BB36" i="5"/>
  <c r="AR75" i="5"/>
  <c r="AB75" i="5"/>
  <c r="S75" i="5"/>
  <c r="T64" i="4"/>
  <c r="S74" i="4"/>
  <c r="O67" i="4"/>
  <c r="AY36" i="5"/>
  <c r="AM75" i="5"/>
  <c r="G75" i="5"/>
  <c r="BI36" i="5"/>
  <c r="AJ36" i="5"/>
  <c r="BN75" i="5"/>
  <c r="BJ75" i="5"/>
  <c r="F21" i="4"/>
  <c r="S67" i="4"/>
  <c r="O73" i="4"/>
  <c r="BN36" i="5"/>
  <c r="AW75" i="5"/>
  <c r="BG36" i="5"/>
  <c r="E61" i="8"/>
  <c r="F61" i="8" s="1"/>
  <c r="E66" i="8"/>
  <c r="F66" i="8" s="1"/>
  <c r="Y75" i="5"/>
  <c r="BK75" i="5"/>
  <c r="AF36" i="5"/>
  <c r="AJ75" i="5"/>
  <c r="T75" i="5"/>
  <c r="AA75" i="5"/>
  <c r="Z75" i="5"/>
  <c r="U75" i="5"/>
  <c r="P68" i="4"/>
  <c r="BM75" i="5"/>
  <c r="P75" i="5"/>
  <c r="BG75" i="5"/>
  <c r="S36" i="5"/>
  <c r="C36" i="5"/>
  <c r="C114" i="9" s="1"/>
  <c r="AP75" i="5"/>
  <c r="R36" i="5"/>
  <c r="BB75" i="5"/>
  <c r="AK75" i="5"/>
  <c r="R74" i="4"/>
  <c r="P67" i="4"/>
  <c r="G85" i="9" l="1"/>
  <c r="F85" i="9" s="1"/>
  <c r="E20" i="4"/>
  <c r="E18" i="4"/>
  <c r="E41" i="4" s="1"/>
  <c r="E54" i="4" s="1"/>
  <c r="E19" i="4"/>
  <c r="E42" i="4" s="1"/>
  <c r="E55" i="4" s="1"/>
  <c r="C18" i="4"/>
  <c r="C41" i="4" s="1"/>
  <c r="AQ75" i="5"/>
  <c r="F19" i="5"/>
  <c r="F42" i="5" s="1"/>
  <c r="F21" i="5"/>
  <c r="F44" i="5" s="1"/>
  <c r="B68" i="5"/>
  <c r="B90" i="5"/>
  <c r="B74" i="5"/>
  <c r="B175" i="8"/>
  <c r="G21" i="5"/>
  <c r="G44" i="5" s="1"/>
  <c r="E18" i="5"/>
  <c r="E41" i="5" s="1"/>
  <c r="G20" i="5"/>
  <c r="G43" i="5" s="1"/>
  <c r="G18" i="5"/>
  <c r="G41" i="5" s="1"/>
  <c r="H11" i="5"/>
  <c r="H18" i="5" s="1"/>
  <c r="H41" i="5" s="1"/>
  <c r="B72" i="5"/>
  <c r="BH79" i="5"/>
  <c r="BH126" i="5" s="1"/>
  <c r="E21" i="5"/>
  <c r="E44" i="5" s="1"/>
  <c r="C21" i="5"/>
  <c r="C44" i="5" s="1"/>
  <c r="G23" i="5"/>
  <c r="G46" i="5" s="1"/>
  <c r="D18" i="5"/>
  <c r="D41" i="5" s="1"/>
  <c r="F23" i="5"/>
  <c r="F46" i="5" s="1"/>
  <c r="F23" i="4"/>
  <c r="F46" i="4" s="1"/>
  <c r="F59" i="4" s="1"/>
  <c r="E19" i="5"/>
  <c r="E42" i="5" s="1"/>
  <c r="AC79" i="5"/>
  <c r="AC126" i="5" s="1"/>
  <c r="AP79" i="5"/>
  <c r="AP126" i="5" s="1"/>
  <c r="AZ79" i="5"/>
  <c r="AZ126" i="5" s="1"/>
  <c r="AW79" i="5"/>
  <c r="AW126" i="5" s="1"/>
  <c r="B65" i="5"/>
  <c r="B17" i="7" s="1"/>
  <c r="AB79" i="5"/>
  <c r="AB126" i="5" s="1"/>
  <c r="AN79" i="5"/>
  <c r="AN126" i="5" s="1"/>
  <c r="AQ79" i="5"/>
  <c r="AQ126" i="5" s="1"/>
  <c r="W79" i="5"/>
  <c r="W126" i="5" s="1"/>
  <c r="B69" i="5"/>
  <c r="AR79" i="5"/>
  <c r="AR126" i="5" s="1"/>
  <c r="AV79" i="5"/>
  <c r="AV126" i="5" s="1"/>
  <c r="AT79" i="5"/>
  <c r="AT126" i="5" s="1"/>
  <c r="J79" i="5"/>
  <c r="J126" i="5" s="1"/>
  <c r="AE75" i="5"/>
  <c r="M79" i="5"/>
  <c r="M126" i="5" s="1"/>
  <c r="N79" i="5"/>
  <c r="N126" i="5" s="1"/>
  <c r="U79" i="5"/>
  <c r="U126" i="5" s="1"/>
  <c r="BF75" i="5"/>
  <c r="H23" i="5"/>
  <c r="H46" i="5" s="1"/>
  <c r="E23" i="5"/>
  <c r="E46" i="5" s="1"/>
  <c r="I17" i="4"/>
  <c r="I40" i="4" s="1"/>
  <c r="I53" i="4" s="1"/>
  <c r="D18" i="4"/>
  <c r="D41" i="4" s="1"/>
  <c r="D54" i="4" s="1"/>
  <c r="E23" i="4"/>
  <c r="E46" i="4" s="1"/>
  <c r="E59" i="4" s="1"/>
  <c r="G23" i="4"/>
  <c r="G46" i="4" s="1"/>
  <c r="G59" i="4" s="1"/>
  <c r="I17" i="5"/>
  <c r="I40" i="5" s="1"/>
  <c r="Q65" i="4"/>
  <c r="H23" i="4"/>
  <c r="H46" i="4" s="1"/>
  <c r="H59" i="4" s="1"/>
  <c r="D20" i="4"/>
  <c r="D43" i="4" s="1"/>
  <c r="D56" i="4" s="1"/>
  <c r="D19" i="4"/>
  <c r="D42" i="4" s="1"/>
  <c r="D55" i="4" s="1"/>
  <c r="G20" i="4"/>
  <c r="G43" i="4" s="1"/>
  <c r="G56" i="4" s="1"/>
  <c r="H11" i="4"/>
  <c r="G19" i="4"/>
  <c r="G42" i="4" s="1"/>
  <c r="G55" i="4" s="1"/>
  <c r="G18" i="4"/>
  <c r="G41" i="4" s="1"/>
  <c r="G54" i="4" s="1"/>
  <c r="D20" i="5"/>
  <c r="D43" i="5" s="1"/>
  <c r="D19" i="5"/>
  <c r="D42" i="5" s="1"/>
  <c r="C20" i="5"/>
  <c r="C43" i="5" s="1"/>
  <c r="C19" i="5"/>
  <c r="C42" i="5" s="1"/>
  <c r="J12" i="5"/>
  <c r="J17" i="5" s="1"/>
  <c r="J40" i="5" s="1"/>
  <c r="C19" i="4"/>
  <c r="C42" i="4" s="1"/>
  <c r="C55" i="4" s="1"/>
  <c r="C20" i="4"/>
  <c r="C43" i="4" s="1"/>
  <c r="G21" i="4"/>
  <c r="G44" i="4" s="1"/>
  <c r="G57" i="4" s="1"/>
  <c r="G24" i="4"/>
  <c r="G47" i="4" s="1"/>
  <c r="G60" i="4" s="1"/>
  <c r="H14" i="4"/>
  <c r="H14" i="5"/>
  <c r="G24" i="5"/>
  <c r="G47" i="5" s="1"/>
  <c r="B70" i="5"/>
  <c r="V79" i="5"/>
  <c r="V126" i="5" s="1"/>
  <c r="BK79" i="5"/>
  <c r="BK126" i="5" s="1"/>
  <c r="AY79" i="5"/>
  <c r="AY126" i="5" s="1"/>
  <c r="B71" i="5"/>
  <c r="K79" i="5"/>
  <c r="K126" i="5" s="1"/>
  <c r="B35" i="5"/>
  <c r="B37" i="5" s="1"/>
  <c r="BC79" i="5"/>
  <c r="BC126" i="5" s="1"/>
  <c r="AQ36" i="5"/>
  <c r="BB79" i="5"/>
  <c r="BB126" i="5" s="1"/>
  <c r="AS79" i="5"/>
  <c r="AS126" i="5" s="1"/>
  <c r="AG79" i="5"/>
  <c r="AG126" i="5" s="1"/>
  <c r="S79" i="5"/>
  <c r="S126" i="5" s="1"/>
  <c r="C75" i="5"/>
  <c r="AL79" i="5"/>
  <c r="AL126" i="5" s="1"/>
  <c r="AI79" i="5"/>
  <c r="AI126" i="5" s="1"/>
  <c r="BE79" i="5"/>
  <c r="BE126" i="5" s="1"/>
  <c r="BM79" i="5"/>
  <c r="BM126" i="5" s="1"/>
  <c r="AU79" i="5"/>
  <c r="AU126" i="5" s="1"/>
  <c r="AF79" i="5"/>
  <c r="AF126" i="5" s="1"/>
  <c r="AK79" i="5"/>
  <c r="AK126" i="5" s="1"/>
  <c r="P79" i="5"/>
  <c r="P126" i="5" s="1"/>
  <c r="AH79" i="5"/>
  <c r="AH126" i="5" s="1"/>
  <c r="I79" i="5"/>
  <c r="I126" i="5" s="1"/>
  <c r="AA79" i="5"/>
  <c r="AA126" i="5" s="1"/>
  <c r="O79" i="5"/>
  <c r="O126" i="5" s="1"/>
  <c r="BN79" i="5"/>
  <c r="BN126" i="5" s="1"/>
  <c r="BI79" i="5"/>
  <c r="BI126" i="5" s="1"/>
  <c r="AE79" i="5"/>
  <c r="AE126" i="5" s="1"/>
  <c r="BJ79" i="5"/>
  <c r="BJ126" i="5" s="1"/>
  <c r="BA79" i="5"/>
  <c r="BA126" i="5" s="1"/>
  <c r="Z79" i="5"/>
  <c r="Z126" i="5" s="1"/>
  <c r="T79" i="5"/>
  <c r="T126" i="5" s="1"/>
  <c r="AD79" i="5"/>
  <c r="AD126" i="5" s="1"/>
  <c r="B67" i="5"/>
  <c r="AM79" i="5"/>
  <c r="AM126" i="5" s="1"/>
  <c r="BO79" i="5"/>
  <c r="BO126" i="5" s="1"/>
  <c r="AB36" i="5"/>
  <c r="BC75" i="5"/>
  <c r="Q79" i="5"/>
  <c r="Q126" i="5" s="1"/>
  <c r="Y79" i="5"/>
  <c r="Y126" i="5" s="1"/>
  <c r="AN36" i="5"/>
  <c r="AT36" i="5"/>
  <c r="BG79" i="5"/>
  <c r="BG126" i="5" s="1"/>
  <c r="BD79" i="5"/>
  <c r="BD126" i="5" s="1"/>
  <c r="X79" i="5"/>
  <c r="X126" i="5" s="1"/>
  <c r="J36" i="5"/>
  <c r="R79" i="5"/>
  <c r="R126" i="5" s="1"/>
  <c r="AO79" i="5"/>
  <c r="AO126" i="5" s="1"/>
  <c r="BF79" i="5"/>
  <c r="BF126" i="5" s="1"/>
  <c r="AJ79" i="5"/>
  <c r="AJ126" i="5" s="1"/>
  <c r="AX79" i="5"/>
  <c r="AX126" i="5" s="1"/>
  <c r="BL79" i="5"/>
  <c r="BL126" i="5" s="1"/>
  <c r="L79" i="5"/>
  <c r="L126" i="5" s="1"/>
  <c r="H79" i="5"/>
  <c r="H126" i="5" s="1"/>
  <c r="H36" i="5"/>
  <c r="C117" i="9"/>
  <c r="C116" i="9"/>
  <c r="D70" i="4"/>
  <c r="D35" i="4"/>
  <c r="D36" i="4" s="1"/>
  <c r="D65" i="4"/>
  <c r="AQ35" i="4"/>
  <c r="S70" i="4"/>
  <c r="S35" i="4"/>
  <c r="S65" i="4"/>
  <c r="BG35" i="4"/>
  <c r="AJ35" i="4"/>
  <c r="E70" i="4"/>
  <c r="E43" i="4"/>
  <c r="E56" i="4" s="1"/>
  <c r="E35" i="4"/>
  <c r="E36" i="4" s="1"/>
  <c r="E65" i="4"/>
  <c r="F70" i="4"/>
  <c r="F43" i="4"/>
  <c r="F56" i="4" s="1"/>
  <c r="F35" i="4"/>
  <c r="F36" i="4" s="1"/>
  <c r="F65" i="4"/>
  <c r="G70" i="4"/>
  <c r="G35" i="4"/>
  <c r="G36" i="4" s="1"/>
  <c r="G65" i="4"/>
  <c r="E72" i="4"/>
  <c r="F22" i="4"/>
  <c r="F45" i="4" s="1"/>
  <c r="F58" i="4" s="1"/>
  <c r="C22" i="4"/>
  <c r="H22" i="4"/>
  <c r="H45" i="4" s="1"/>
  <c r="H58" i="4" s="1"/>
  <c r="C22" i="5"/>
  <c r="C45" i="5" s="1"/>
  <c r="H22" i="5"/>
  <c r="H45" i="5" s="1"/>
  <c r="G22" i="4"/>
  <c r="G45" i="4" s="1"/>
  <c r="G58" i="4" s="1"/>
  <c r="G22" i="5"/>
  <c r="G45" i="5" s="1"/>
  <c r="E22" i="5"/>
  <c r="E45" i="5" s="1"/>
  <c r="D22" i="5"/>
  <c r="D45" i="5" s="1"/>
  <c r="D22" i="4"/>
  <c r="D45" i="4" s="1"/>
  <c r="D58" i="4" s="1"/>
  <c r="F22" i="5"/>
  <c r="F45" i="5" s="1"/>
  <c r="E22" i="4"/>
  <c r="E45" i="4" s="1"/>
  <c r="E58" i="4" s="1"/>
  <c r="BE35" i="4"/>
  <c r="D83" i="9"/>
  <c r="C70" i="4"/>
  <c r="B30" i="4"/>
  <c r="C35" i="4"/>
  <c r="C65" i="4"/>
  <c r="AG35" i="4"/>
  <c r="J70" i="4"/>
  <c r="J65" i="4"/>
  <c r="J35" i="4"/>
  <c r="AX35" i="4"/>
  <c r="M70" i="4"/>
  <c r="M65" i="4"/>
  <c r="M35" i="4"/>
  <c r="N70" i="4"/>
  <c r="N35" i="4"/>
  <c r="N65" i="4"/>
  <c r="O70" i="4"/>
  <c r="O35" i="4"/>
  <c r="F71" i="4"/>
  <c r="F44" i="4"/>
  <c r="F57" i="4" s="1"/>
  <c r="P72" i="4"/>
  <c r="J71" i="4"/>
  <c r="I22" i="5"/>
  <c r="I45" i="5" s="1"/>
  <c r="J13" i="5"/>
  <c r="I23" i="5"/>
  <c r="I46" i="5" s="1"/>
  <c r="U64" i="4"/>
  <c r="T69" i="4"/>
  <c r="T73" i="4"/>
  <c r="T65" i="4"/>
  <c r="T74" i="4"/>
  <c r="T67" i="4"/>
  <c r="T68" i="4"/>
  <c r="F17" i="5"/>
  <c r="F40" i="5" s="1"/>
  <c r="E17" i="5"/>
  <c r="E40" i="5" s="1"/>
  <c r="D17" i="5"/>
  <c r="D40" i="5" s="1"/>
  <c r="C17" i="5"/>
  <c r="C40" i="5" s="1"/>
  <c r="C17" i="4"/>
  <c r="C40" i="4" s="1"/>
  <c r="D17" i="4"/>
  <c r="D40" i="4" s="1"/>
  <c r="F17" i="4"/>
  <c r="F40" i="4" s="1"/>
  <c r="G17" i="5"/>
  <c r="G40" i="5" s="1"/>
  <c r="H17" i="4"/>
  <c r="H40" i="4" s="1"/>
  <c r="H17" i="5"/>
  <c r="H40" i="5" s="1"/>
  <c r="G17" i="4"/>
  <c r="G40" i="4" s="1"/>
  <c r="E17" i="4"/>
  <c r="E40" i="4" s="1"/>
  <c r="O65" i="4"/>
  <c r="P70" i="4"/>
  <c r="P35" i="4"/>
  <c r="P65" i="4"/>
  <c r="Q70" i="4"/>
  <c r="Q35" i="4"/>
  <c r="AR35" i="4"/>
  <c r="X35" i="4"/>
  <c r="BL35" i="4"/>
  <c r="U70" i="4"/>
  <c r="U35" i="4"/>
  <c r="V35" i="4"/>
  <c r="W35" i="4"/>
  <c r="L72" i="4"/>
  <c r="Q71" i="4"/>
  <c r="F72" i="4"/>
  <c r="I22" i="4"/>
  <c r="I45" i="4" s="1"/>
  <c r="I58" i="4" s="1"/>
  <c r="BN35" i="4"/>
  <c r="AB35" i="4"/>
  <c r="BF35" i="4"/>
  <c r="AI35" i="4"/>
  <c r="L70" i="4"/>
  <c r="L35" i="4"/>
  <c r="L65" i="4"/>
  <c r="AC35" i="4"/>
  <c r="AD35" i="4"/>
  <c r="AE35" i="4"/>
  <c r="I23" i="4"/>
  <c r="I46" i="4" s="1"/>
  <c r="I59" i="4" s="1"/>
  <c r="J13" i="4"/>
  <c r="N71" i="4"/>
  <c r="G71" i="4"/>
  <c r="T72" i="4"/>
  <c r="D84" i="9"/>
  <c r="E84" i="9" s="1"/>
  <c r="C71" i="4"/>
  <c r="C44" i="4"/>
  <c r="B31" i="4"/>
  <c r="J22" i="4"/>
  <c r="J45" i="4" s="1"/>
  <c r="J58" i="4" s="1"/>
  <c r="K12" i="4"/>
  <c r="J17" i="4"/>
  <c r="J40" i="4" s="1"/>
  <c r="R70" i="4"/>
  <c r="R35" i="4"/>
  <c r="R65" i="4"/>
  <c r="AP35" i="4"/>
  <c r="I70" i="4"/>
  <c r="I35" i="4"/>
  <c r="I65" i="4"/>
  <c r="AW35" i="4"/>
  <c r="Z35" i="4"/>
  <c r="AK35" i="4"/>
  <c r="AL35" i="4"/>
  <c r="AM35" i="4"/>
  <c r="M72" i="4"/>
  <c r="R71" i="4"/>
  <c r="G72" i="4"/>
  <c r="K71" i="4"/>
  <c r="I72" i="4"/>
  <c r="D71" i="4"/>
  <c r="D44" i="4"/>
  <c r="D57" i="4" s="1"/>
  <c r="J72" i="4"/>
  <c r="E71" i="4"/>
  <c r="E44" i="4"/>
  <c r="E57" i="4" s="1"/>
  <c r="C72" i="4"/>
  <c r="B32" i="4"/>
  <c r="C45" i="4"/>
  <c r="AA35" i="4"/>
  <c r="BD35" i="4"/>
  <c r="T70" i="4"/>
  <c r="T35" i="4"/>
  <c r="BH35" i="4"/>
  <c r="AN35" i="4"/>
  <c r="AS35" i="4"/>
  <c r="AT35" i="4"/>
  <c r="AU35" i="4"/>
  <c r="N72" i="4"/>
  <c r="H71" i="4"/>
  <c r="U72" i="4"/>
  <c r="S71" i="4"/>
  <c r="Q72" i="4"/>
  <c r="L71" i="4"/>
  <c r="R72" i="4"/>
  <c r="M71" i="4"/>
  <c r="K72" i="4"/>
  <c r="D90" i="5"/>
  <c r="E90" i="5"/>
  <c r="C36" i="3" s="1"/>
  <c r="AF35" i="4"/>
  <c r="BO35" i="4"/>
  <c r="AH35" i="4"/>
  <c r="K70" i="4"/>
  <c r="K65" i="4"/>
  <c r="K35" i="4"/>
  <c r="AY35" i="4"/>
  <c r="BA35" i="4"/>
  <c r="BB35" i="4"/>
  <c r="BC35" i="4"/>
  <c r="P71" i="4"/>
  <c r="D72" i="4"/>
  <c r="H72" i="4"/>
  <c r="T71" i="4"/>
  <c r="U71" i="4"/>
  <c r="S72" i="4"/>
  <c r="AZ35" i="4"/>
  <c r="AO35" i="4"/>
  <c r="H70" i="4"/>
  <c r="H35" i="4"/>
  <c r="H65" i="4"/>
  <c r="AV35" i="4"/>
  <c r="Y35" i="4"/>
  <c r="BM35" i="4"/>
  <c r="BI35" i="4"/>
  <c r="BJ35" i="4"/>
  <c r="BK35" i="4"/>
  <c r="C54" i="4"/>
  <c r="C59" i="4"/>
  <c r="O71" i="4"/>
  <c r="O72" i="4"/>
  <c r="I71" i="4"/>
  <c r="H19" i="5" l="1"/>
  <c r="H42" i="5" s="1"/>
  <c r="I11" i="5"/>
  <c r="J11" i="5" s="1"/>
  <c r="J20" i="5" s="1"/>
  <c r="J43" i="5" s="1"/>
  <c r="H20" i="5"/>
  <c r="H43" i="5" s="1"/>
  <c r="H21" i="5"/>
  <c r="H44" i="5" s="1"/>
  <c r="B75" i="5"/>
  <c r="B93" i="5" s="1"/>
  <c r="D93" i="5" s="1"/>
  <c r="J22" i="5"/>
  <c r="J45" i="5" s="1"/>
  <c r="K12" i="5"/>
  <c r="K17" i="5" s="1"/>
  <c r="K40" i="5" s="1"/>
  <c r="S75" i="4"/>
  <c r="H24" i="4"/>
  <c r="H47" i="4" s="1"/>
  <c r="H60" i="4" s="1"/>
  <c r="I14" i="4"/>
  <c r="I11" i="4"/>
  <c r="H18" i="4"/>
  <c r="H41" i="4" s="1"/>
  <c r="H54" i="4" s="1"/>
  <c r="H19" i="4"/>
  <c r="H42" i="4" s="1"/>
  <c r="H55" i="4" s="1"/>
  <c r="H20" i="4"/>
  <c r="H43" i="4" s="1"/>
  <c r="H56" i="4" s="1"/>
  <c r="H21" i="4"/>
  <c r="H44" i="4" s="1"/>
  <c r="H57" i="4" s="1"/>
  <c r="I14" i="5"/>
  <c r="H24" i="5"/>
  <c r="H47" i="5" s="1"/>
  <c r="B79" i="5"/>
  <c r="B94" i="5" s="1"/>
  <c r="D94" i="5" s="1"/>
  <c r="O75" i="4"/>
  <c r="P75" i="4"/>
  <c r="R75" i="4"/>
  <c r="AY79" i="4"/>
  <c r="AY126" i="4" s="1"/>
  <c r="AY36" i="4"/>
  <c r="AH79" i="4"/>
  <c r="AH126" i="4" s="1"/>
  <c r="AH36" i="4"/>
  <c r="T79" i="4"/>
  <c r="T126" i="4" s="1"/>
  <c r="T36" i="4"/>
  <c r="AK79" i="4"/>
  <c r="AK126" i="4" s="1"/>
  <c r="AK36" i="4"/>
  <c r="BF79" i="4"/>
  <c r="BF126" i="4" s="1"/>
  <c r="BF36" i="4"/>
  <c r="W79" i="4"/>
  <c r="W126" i="4" s="1"/>
  <c r="W36" i="4"/>
  <c r="P79" i="4"/>
  <c r="P126" i="4" s="1"/>
  <c r="P36" i="4"/>
  <c r="H53" i="4"/>
  <c r="F51" i="5"/>
  <c r="F48" i="5"/>
  <c r="N75" i="4"/>
  <c r="BJ79" i="4"/>
  <c r="BJ126" i="4" s="1"/>
  <c r="BJ36" i="4"/>
  <c r="BM79" i="4"/>
  <c r="BM126" i="4" s="1"/>
  <c r="BM36" i="4"/>
  <c r="BB79" i="4"/>
  <c r="BB126" i="4" s="1"/>
  <c r="BB36" i="4"/>
  <c r="AT79" i="4"/>
  <c r="AT126" i="4" s="1"/>
  <c r="AT36" i="4"/>
  <c r="AN79" i="4"/>
  <c r="AN126" i="4" s="1"/>
  <c r="AN36" i="4"/>
  <c r="C58" i="4"/>
  <c r="L79" i="4"/>
  <c r="L126" i="4" s="1"/>
  <c r="L36" i="4"/>
  <c r="BL79" i="4"/>
  <c r="BL126" i="4" s="1"/>
  <c r="BL36" i="4"/>
  <c r="AR79" i="4"/>
  <c r="AR126" i="4" s="1"/>
  <c r="AR36" i="4"/>
  <c r="G51" i="5"/>
  <c r="G48" i="5"/>
  <c r="M79" i="4"/>
  <c r="M126" i="4" s="1"/>
  <c r="M36" i="4"/>
  <c r="J79" i="4"/>
  <c r="J126" i="4" s="1"/>
  <c r="J36" i="4"/>
  <c r="C36" i="4"/>
  <c r="B114" i="9" s="1"/>
  <c r="B35" i="4"/>
  <c r="B37" i="4" s="1"/>
  <c r="B37" i="8"/>
  <c r="D75" i="4"/>
  <c r="AZ79" i="4"/>
  <c r="AZ126" i="4" s="1"/>
  <c r="AZ36" i="4"/>
  <c r="AM79" i="4"/>
  <c r="AM126" i="4" s="1"/>
  <c r="AM36" i="4"/>
  <c r="R79" i="4"/>
  <c r="R126" i="4" s="1"/>
  <c r="R36" i="4"/>
  <c r="AD79" i="4"/>
  <c r="AD126" i="4" s="1"/>
  <c r="AD36" i="4"/>
  <c r="F51" i="4"/>
  <c r="F48" i="4"/>
  <c r="F53" i="4"/>
  <c r="F61" i="4" s="1"/>
  <c r="O79" i="4"/>
  <c r="O126" i="4" s="1"/>
  <c r="O36" i="4"/>
  <c r="F75" i="4"/>
  <c r="BG79" i="4"/>
  <c r="BG126" i="4" s="1"/>
  <c r="BG36" i="4"/>
  <c r="AQ79" i="4"/>
  <c r="AQ126" i="4" s="1"/>
  <c r="AQ36" i="4"/>
  <c r="BO79" i="4"/>
  <c r="BO126" i="4" s="1"/>
  <c r="BO36" i="4"/>
  <c r="BD79" i="4"/>
  <c r="BD126" i="4" s="1"/>
  <c r="BD36" i="4"/>
  <c r="Z79" i="4"/>
  <c r="Z126" i="4" s="1"/>
  <c r="Z36" i="4"/>
  <c r="I79" i="4"/>
  <c r="I126" i="4" s="1"/>
  <c r="I36" i="4"/>
  <c r="L75" i="4"/>
  <c r="AB79" i="4"/>
  <c r="AB126" i="4" s="1"/>
  <c r="AB36" i="4"/>
  <c r="V79" i="4"/>
  <c r="V126" i="4" s="1"/>
  <c r="V36" i="4"/>
  <c r="D53" i="4"/>
  <c r="D61" i="4" s="1"/>
  <c r="D51" i="4"/>
  <c r="D48" i="4"/>
  <c r="C75" i="4"/>
  <c r="BK79" i="4"/>
  <c r="BK126" i="4" s="1"/>
  <c r="BK36" i="4"/>
  <c r="H79" i="4"/>
  <c r="H36" i="4"/>
  <c r="K79" i="4"/>
  <c r="K126" i="4" s="1"/>
  <c r="K36" i="4"/>
  <c r="BH79" i="4"/>
  <c r="BH126" i="4" s="1"/>
  <c r="BH36" i="4"/>
  <c r="AI79" i="4"/>
  <c r="AI126" i="4" s="1"/>
  <c r="AI36" i="4"/>
  <c r="Q79" i="4"/>
  <c r="Q126" i="4" s="1"/>
  <c r="Q36" i="4"/>
  <c r="C53" i="4"/>
  <c r="C51" i="4"/>
  <c r="C48" i="4"/>
  <c r="V64" i="4"/>
  <c r="U74" i="4"/>
  <c r="U67" i="4"/>
  <c r="U68" i="4"/>
  <c r="U69" i="4"/>
  <c r="U65" i="4"/>
  <c r="U73" i="4"/>
  <c r="M75" i="4"/>
  <c r="J75" i="4"/>
  <c r="C56" i="4"/>
  <c r="E93" i="5"/>
  <c r="Y79" i="4"/>
  <c r="Y126" i="4" s="1"/>
  <c r="Y36" i="4"/>
  <c r="BI79" i="4"/>
  <c r="BI126" i="4" s="1"/>
  <c r="BI36" i="4"/>
  <c r="BC79" i="4"/>
  <c r="BC126" i="4" s="1"/>
  <c r="BC36" i="4"/>
  <c r="BA79" i="4"/>
  <c r="BA126" i="4" s="1"/>
  <c r="BA36" i="4"/>
  <c r="AU79" i="4"/>
  <c r="AU126" i="4" s="1"/>
  <c r="AU36" i="4"/>
  <c r="AS79" i="4"/>
  <c r="AS126" i="4" s="1"/>
  <c r="AS36" i="4"/>
  <c r="AL79" i="4"/>
  <c r="AL126" i="4" s="1"/>
  <c r="AL36" i="4"/>
  <c r="I75" i="4"/>
  <c r="J53" i="4"/>
  <c r="J23" i="4"/>
  <c r="J46" i="4" s="1"/>
  <c r="K13" i="4"/>
  <c r="AC79" i="4"/>
  <c r="AC126" i="4" s="1"/>
  <c r="AC36" i="4"/>
  <c r="X79" i="4"/>
  <c r="X126" i="4" s="1"/>
  <c r="X36" i="4"/>
  <c r="E51" i="4"/>
  <c r="E48" i="4"/>
  <c r="E53" i="4"/>
  <c r="E61" i="4" s="1"/>
  <c r="C51" i="5"/>
  <c r="C48" i="5"/>
  <c r="AX79" i="4"/>
  <c r="AX126" i="4" s="1"/>
  <c r="AX36" i="4"/>
  <c r="AG79" i="4"/>
  <c r="AG126" i="4" s="1"/>
  <c r="AG36" i="4"/>
  <c r="E83" i="9"/>
  <c r="D85" i="9"/>
  <c r="E85" i="9" s="1"/>
  <c r="H75" i="4"/>
  <c r="K75" i="4"/>
  <c r="AP79" i="4"/>
  <c r="AP126" i="4" s="1"/>
  <c r="AP36" i="4"/>
  <c r="K22" i="4"/>
  <c r="K45" i="4" s="1"/>
  <c r="K58" i="4" s="1"/>
  <c r="L12" i="4"/>
  <c r="K17" i="4"/>
  <c r="K40" i="4" s="1"/>
  <c r="C57" i="4"/>
  <c r="BN79" i="4"/>
  <c r="BN126" i="4" s="1"/>
  <c r="BN36" i="4"/>
  <c r="U79" i="4"/>
  <c r="U126" i="4" s="1"/>
  <c r="U36" i="4"/>
  <c r="Q75" i="4"/>
  <c r="G51" i="4"/>
  <c r="G48" i="4"/>
  <c r="G53" i="4"/>
  <c r="G61" i="4" s="1"/>
  <c r="D51" i="5"/>
  <c r="D48" i="5"/>
  <c r="K13" i="5"/>
  <c r="J23" i="5"/>
  <c r="J46" i="5" s="1"/>
  <c r="N79" i="4"/>
  <c r="N126" i="4" s="1"/>
  <c r="N36" i="4"/>
  <c r="BE79" i="4"/>
  <c r="BE126" i="4" s="1"/>
  <c r="BE36" i="4"/>
  <c r="G75" i="4"/>
  <c r="E75" i="4"/>
  <c r="AV79" i="4"/>
  <c r="AV126" i="4" s="1"/>
  <c r="AV36" i="4"/>
  <c r="AO79" i="4"/>
  <c r="AO126" i="4" s="1"/>
  <c r="AO36" i="4"/>
  <c r="AF79" i="4"/>
  <c r="AF126" i="4" s="1"/>
  <c r="AF36" i="4"/>
  <c r="AA79" i="4"/>
  <c r="AA126" i="4" s="1"/>
  <c r="AA36" i="4"/>
  <c r="AW79" i="4"/>
  <c r="AW126" i="4" s="1"/>
  <c r="AW36" i="4"/>
  <c r="AE79" i="4"/>
  <c r="AE126" i="4" s="1"/>
  <c r="AE36" i="4"/>
  <c r="E51" i="5"/>
  <c r="E48" i="5"/>
  <c r="T75" i="4"/>
  <c r="AJ79" i="4"/>
  <c r="AJ126" i="4" s="1"/>
  <c r="AJ36" i="4"/>
  <c r="S79" i="4"/>
  <c r="S126" i="4" s="1"/>
  <c r="S36" i="4"/>
  <c r="L12" i="5" l="1"/>
  <c r="I20" i="5"/>
  <c r="I43" i="5" s="1"/>
  <c r="E94" i="5"/>
  <c r="I21" i="5"/>
  <c r="I44" i="5" s="1"/>
  <c r="H51" i="5"/>
  <c r="J21" i="5"/>
  <c r="J44" i="5" s="1"/>
  <c r="J19" i="5"/>
  <c r="J42" i="5" s="1"/>
  <c r="I19" i="5"/>
  <c r="I42" i="5" s="1"/>
  <c r="I18" i="5"/>
  <c r="I41" i="5" s="1"/>
  <c r="K11" i="5"/>
  <c r="L11" i="5" s="1"/>
  <c r="J18" i="5"/>
  <c r="J41" i="5" s="1"/>
  <c r="K22" i="5"/>
  <c r="K45" i="5" s="1"/>
  <c r="H48" i="5"/>
  <c r="H51" i="4"/>
  <c r="H61" i="4"/>
  <c r="H48" i="4"/>
  <c r="J14" i="5"/>
  <c r="I24" i="5"/>
  <c r="I47" i="5" s="1"/>
  <c r="I19" i="4"/>
  <c r="I42" i="4" s="1"/>
  <c r="I55" i="4" s="1"/>
  <c r="I20" i="4"/>
  <c r="I43" i="4" s="1"/>
  <c r="I56" i="4" s="1"/>
  <c r="J11" i="4"/>
  <c r="I21" i="4"/>
  <c r="I44" i="4" s="1"/>
  <c r="I57" i="4" s="1"/>
  <c r="I18" i="4"/>
  <c r="I41" i="4" s="1"/>
  <c r="I24" i="4"/>
  <c r="I47" i="4" s="1"/>
  <c r="I60" i="4" s="1"/>
  <c r="J14" i="4"/>
  <c r="D78" i="4"/>
  <c r="G78" i="4"/>
  <c r="K23" i="4"/>
  <c r="K46" i="4" s="1"/>
  <c r="K59" i="4" s="1"/>
  <c r="L13" i="4"/>
  <c r="K53" i="4"/>
  <c r="E78" i="4"/>
  <c r="J59" i="4"/>
  <c r="W64" i="4"/>
  <c r="V68" i="4"/>
  <c r="V67" i="4"/>
  <c r="V73" i="4"/>
  <c r="V65" i="4"/>
  <c r="V74" i="4"/>
  <c r="V69" i="4"/>
  <c r="V70" i="4"/>
  <c r="V71" i="4"/>
  <c r="V72" i="4"/>
  <c r="M12" i="4"/>
  <c r="L17" i="4"/>
  <c r="L40" i="4" s="1"/>
  <c r="L22" i="4"/>
  <c r="L45" i="4" s="1"/>
  <c r="L58" i="4" s="1"/>
  <c r="H126" i="4"/>
  <c r="B79" i="4"/>
  <c r="B94" i="4" s="1"/>
  <c r="B115" i="9"/>
  <c r="B123" i="8"/>
  <c r="B90" i="4"/>
  <c r="L13" i="5"/>
  <c r="K23" i="5"/>
  <c r="K46" i="5" s="1"/>
  <c r="M12" i="5"/>
  <c r="L22" i="5"/>
  <c r="L45" i="5" s="1"/>
  <c r="L17" i="5"/>
  <c r="L40" i="5" s="1"/>
  <c r="C61" i="4"/>
  <c r="F78" i="4"/>
  <c r="U75" i="4"/>
  <c r="H78" i="4" l="1"/>
  <c r="K19" i="5"/>
  <c r="K42" i="5" s="1"/>
  <c r="K18" i="5"/>
  <c r="K41" i="5" s="1"/>
  <c r="K20" i="5"/>
  <c r="K43" i="5" s="1"/>
  <c r="K21" i="5"/>
  <c r="K44" i="5" s="1"/>
  <c r="I48" i="5"/>
  <c r="I51" i="5"/>
  <c r="I54" i="4"/>
  <c r="I61" i="4" s="1"/>
  <c r="I48" i="4"/>
  <c r="I51" i="4"/>
  <c r="K11" i="4"/>
  <c r="J21" i="4"/>
  <c r="J44" i="4" s="1"/>
  <c r="J57" i="4" s="1"/>
  <c r="J20" i="4"/>
  <c r="J43" i="4" s="1"/>
  <c r="J56" i="4" s="1"/>
  <c r="J18" i="4"/>
  <c r="J41" i="4" s="1"/>
  <c r="J19" i="4"/>
  <c r="J42" i="4" s="1"/>
  <c r="J55" i="4" s="1"/>
  <c r="K14" i="4"/>
  <c r="J24" i="4"/>
  <c r="J47" i="4" s="1"/>
  <c r="J60" i="4" s="1"/>
  <c r="K14" i="5"/>
  <c r="J24" i="5"/>
  <c r="J47" i="5" s="1"/>
  <c r="V75" i="4"/>
  <c r="M11" i="5"/>
  <c r="L21" i="5"/>
  <c r="L44" i="5" s="1"/>
  <c r="L18" i="5"/>
  <c r="L41" i="5" s="1"/>
  <c r="L20" i="5"/>
  <c r="L43" i="5" s="1"/>
  <c r="L19" i="5"/>
  <c r="L42" i="5" s="1"/>
  <c r="C78" i="4"/>
  <c r="L23" i="4"/>
  <c r="L46" i="4" s="1"/>
  <c r="L59" i="4" s="1"/>
  <c r="M13" i="4"/>
  <c r="D94" i="4"/>
  <c r="E94" i="4"/>
  <c r="M22" i="5"/>
  <c r="M45" i="5" s="1"/>
  <c r="M17" i="5"/>
  <c r="M40" i="5" s="1"/>
  <c r="N12" i="5"/>
  <c r="L53" i="4"/>
  <c r="D90" i="4"/>
  <c r="E90" i="4"/>
  <c r="C32" i="3" s="1"/>
  <c r="M22" i="4"/>
  <c r="M45" i="4" s="1"/>
  <c r="M58" i="4" s="1"/>
  <c r="N12" i="4"/>
  <c r="M17" i="4"/>
  <c r="M40" i="4" s="1"/>
  <c r="X64" i="4"/>
  <c r="W67" i="4"/>
  <c r="W74" i="4"/>
  <c r="W73" i="4"/>
  <c r="W69" i="4"/>
  <c r="W65" i="4"/>
  <c r="W68" i="4"/>
  <c r="W70" i="4"/>
  <c r="W71" i="4"/>
  <c r="W72" i="4"/>
  <c r="L23" i="5"/>
  <c r="L46" i="5" s="1"/>
  <c r="M13" i="5"/>
  <c r="B117" i="9"/>
  <c r="B116" i="9"/>
  <c r="I78" i="4" l="1"/>
  <c r="J51" i="5"/>
  <c r="J48" i="5"/>
  <c r="J54" i="4"/>
  <c r="J61" i="4" s="1"/>
  <c r="J51" i="4"/>
  <c r="J48" i="4"/>
  <c r="K24" i="5"/>
  <c r="K47" i="5" s="1"/>
  <c r="L14" i="5"/>
  <c r="K24" i="4"/>
  <c r="K47" i="4" s="1"/>
  <c r="K60" i="4" s="1"/>
  <c r="L14" i="4"/>
  <c r="K19" i="4"/>
  <c r="K42" i="4" s="1"/>
  <c r="K55" i="4" s="1"/>
  <c r="K18" i="4"/>
  <c r="K41" i="4" s="1"/>
  <c r="L11" i="4"/>
  <c r="K21" i="4"/>
  <c r="K44" i="4" s="1"/>
  <c r="K57" i="4" s="1"/>
  <c r="K20" i="4"/>
  <c r="K43" i="4" s="1"/>
  <c r="K56" i="4" s="1"/>
  <c r="N17" i="4"/>
  <c r="N40" i="4" s="1"/>
  <c r="N22" i="4"/>
  <c r="N45" i="4" s="1"/>
  <c r="N58" i="4" s="1"/>
  <c r="O12" i="4"/>
  <c r="M23" i="4"/>
  <c r="M46" i="4" s="1"/>
  <c r="M59" i="4" s="1"/>
  <c r="N13" i="4"/>
  <c r="N11" i="5"/>
  <c r="M21" i="5"/>
  <c r="M44" i="5" s="1"/>
  <c r="M20" i="5"/>
  <c r="M43" i="5" s="1"/>
  <c r="M19" i="5"/>
  <c r="M42" i="5" s="1"/>
  <c r="M18" i="5"/>
  <c r="M41" i="5" s="1"/>
  <c r="W75" i="4"/>
  <c r="Y64" i="4"/>
  <c r="X65" i="4"/>
  <c r="X67" i="4"/>
  <c r="X69" i="4"/>
  <c r="X73" i="4"/>
  <c r="X68" i="4"/>
  <c r="X74" i="4"/>
  <c r="X70" i="4"/>
  <c r="X71" i="4"/>
  <c r="X72" i="4"/>
  <c r="M23" i="5"/>
  <c r="M46" i="5" s="1"/>
  <c r="N13" i="5"/>
  <c r="O12" i="5"/>
  <c r="N22" i="5"/>
  <c r="N45" i="5" s="1"/>
  <c r="N17" i="5"/>
  <c r="N40" i="5" s="1"/>
  <c r="M53" i="4"/>
  <c r="J78" i="4" l="1"/>
  <c r="K51" i="5"/>
  <c r="K48" i="5"/>
  <c r="K54" i="4"/>
  <c r="K61" i="4" s="1"/>
  <c r="K48" i="4"/>
  <c r="K51" i="4"/>
  <c r="L18" i="4"/>
  <c r="L41" i="4" s="1"/>
  <c r="M11" i="4"/>
  <c r="L21" i="4"/>
  <c r="L44" i="4" s="1"/>
  <c r="L57" i="4" s="1"/>
  <c r="L20" i="4"/>
  <c r="L43" i="4" s="1"/>
  <c r="L56" i="4" s="1"/>
  <c r="L19" i="4"/>
  <c r="L42" i="4" s="1"/>
  <c r="L55" i="4" s="1"/>
  <c r="M14" i="4"/>
  <c r="L24" i="4"/>
  <c r="L47" i="4" s="1"/>
  <c r="L60" i="4" s="1"/>
  <c r="M14" i="5"/>
  <c r="L24" i="5"/>
  <c r="L47" i="5" s="1"/>
  <c r="O17" i="4"/>
  <c r="O40" i="4" s="1"/>
  <c r="O22" i="4"/>
  <c r="O45" i="4" s="1"/>
  <c r="O58" i="4" s="1"/>
  <c r="P12" i="4"/>
  <c r="N53" i="4"/>
  <c r="P12" i="5"/>
  <c r="O22" i="5"/>
  <c r="O45" i="5" s="1"/>
  <c r="O17" i="5"/>
  <c r="O40" i="5" s="1"/>
  <c r="X75" i="4"/>
  <c r="N21" i="5"/>
  <c r="N44" i="5" s="1"/>
  <c r="N20" i="5"/>
  <c r="N43" i="5" s="1"/>
  <c r="N19" i="5"/>
  <c r="N42" i="5" s="1"/>
  <c r="O11" i="5"/>
  <c r="N18" i="5"/>
  <c r="N41" i="5" s="1"/>
  <c r="N23" i="4"/>
  <c r="N46" i="4" s="1"/>
  <c r="N59" i="4" s="1"/>
  <c r="O13" i="4"/>
  <c r="Z64" i="4"/>
  <c r="Y65" i="4"/>
  <c r="Y73" i="4"/>
  <c r="Y67" i="4"/>
  <c r="Y68" i="4"/>
  <c r="Y74" i="4"/>
  <c r="Y69" i="4"/>
  <c r="Y70" i="4"/>
  <c r="Y71" i="4"/>
  <c r="Y72" i="4"/>
  <c r="N23" i="5"/>
  <c r="N46" i="5" s="1"/>
  <c r="O13" i="5"/>
  <c r="K78" i="4" l="1"/>
  <c r="L48" i="5"/>
  <c r="L51" i="5"/>
  <c r="L54" i="4"/>
  <c r="L61" i="4" s="1"/>
  <c r="L51" i="4"/>
  <c r="L48" i="4"/>
  <c r="N14" i="5"/>
  <c r="M24" i="5"/>
  <c r="M47" i="5" s="1"/>
  <c r="M24" i="4"/>
  <c r="M47" i="4" s="1"/>
  <c r="M60" i="4" s="1"/>
  <c r="N14" i="4"/>
  <c r="N11" i="4"/>
  <c r="M20" i="4"/>
  <c r="M43" i="4" s="1"/>
  <c r="M56" i="4" s="1"/>
  <c r="M21" i="4"/>
  <c r="M44" i="4" s="1"/>
  <c r="M57" i="4" s="1"/>
  <c r="M19" i="4"/>
  <c r="M42" i="4" s="1"/>
  <c r="M55" i="4" s="1"/>
  <c r="M18" i="4"/>
  <c r="M41" i="4" s="1"/>
  <c r="P17" i="5"/>
  <c r="P40" i="5" s="1"/>
  <c r="P22" i="5"/>
  <c r="P45" i="5" s="1"/>
  <c r="Q12" i="5"/>
  <c r="O23" i="5"/>
  <c r="O46" i="5" s="1"/>
  <c r="P13" i="5"/>
  <c r="AA64" i="4"/>
  <c r="Z65" i="4"/>
  <c r="Z67" i="4"/>
  <c r="Z74" i="4"/>
  <c r="Z68" i="4"/>
  <c r="Z69" i="4"/>
  <c r="Z73" i="4"/>
  <c r="Z72" i="4"/>
  <c r="Z70" i="4"/>
  <c r="Z71" i="4"/>
  <c r="O20" i="5"/>
  <c r="O43" i="5" s="1"/>
  <c r="O19" i="5"/>
  <c r="O42" i="5" s="1"/>
  <c r="O18" i="5"/>
  <c r="O41" i="5" s="1"/>
  <c r="P11" i="5"/>
  <c r="O21" i="5"/>
  <c r="O44" i="5" s="1"/>
  <c r="P22" i="4"/>
  <c r="P45" i="4" s="1"/>
  <c r="P58" i="4" s="1"/>
  <c r="P17" i="4"/>
  <c r="P40" i="4" s="1"/>
  <c r="Q12" i="4"/>
  <c r="O23" i="4"/>
  <c r="O46" i="4" s="1"/>
  <c r="O59" i="4" s="1"/>
  <c r="P13" i="4"/>
  <c r="Y75" i="4"/>
  <c r="O53" i="4"/>
  <c r="L78" i="4" l="1"/>
  <c r="M54" i="4"/>
  <c r="M61" i="4" s="1"/>
  <c r="M48" i="4"/>
  <c r="M51" i="4"/>
  <c r="M48" i="5"/>
  <c r="M51" i="5"/>
  <c r="N20" i="4"/>
  <c r="N43" i="4" s="1"/>
  <c r="N56" i="4" s="1"/>
  <c r="N19" i="4"/>
  <c r="N42" i="4" s="1"/>
  <c r="N55" i="4" s="1"/>
  <c r="O11" i="4"/>
  <c r="N21" i="4"/>
  <c r="N44" i="4" s="1"/>
  <c r="N57" i="4" s="1"/>
  <c r="N18" i="4"/>
  <c r="N41" i="4" s="1"/>
  <c r="N24" i="4"/>
  <c r="N47" i="4" s="1"/>
  <c r="N60" i="4" s="1"/>
  <c r="O14" i="4"/>
  <c r="O14" i="5"/>
  <c r="N24" i="5"/>
  <c r="N47" i="5" s="1"/>
  <c r="Z75" i="4"/>
  <c r="Q17" i="5"/>
  <c r="Q40" i="5" s="1"/>
  <c r="Q22" i="5"/>
  <c r="Q45" i="5" s="1"/>
  <c r="R12" i="5"/>
  <c r="AB64" i="4"/>
  <c r="AA67" i="4"/>
  <c r="AA73" i="4"/>
  <c r="AA74" i="4"/>
  <c r="AA68" i="4"/>
  <c r="AA69" i="4"/>
  <c r="AA65" i="4"/>
  <c r="AA71" i="4"/>
  <c r="AA72" i="4"/>
  <c r="AA70" i="4"/>
  <c r="P23" i="5"/>
  <c r="P46" i="5" s="1"/>
  <c r="Q13" i="5"/>
  <c r="Q13" i="4"/>
  <c r="P23" i="4"/>
  <c r="P46" i="4" s="1"/>
  <c r="P59" i="4" s="1"/>
  <c r="P19" i="5"/>
  <c r="P42" i="5" s="1"/>
  <c r="P18" i="5"/>
  <c r="P41" i="5" s="1"/>
  <c r="Q11" i="5"/>
  <c r="P21" i="5"/>
  <c r="P44" i="5" s="1"/>
  <c r="P20" i="5"/>
  <c r="P43" i="5" s="1"/>
  <c r="Q17" i="4"/>
  <c r="Q40" i="4" s="1"/>
  <c r="Q22" i="4"/>
  <c r="Q45" i="4" s="1"/>
  <c r="Q58" i="4" s="1"/>
  <c r="R12" i="4"/>
  <c r="P53" i="4"/>
  <c r="M78" i="4" l="1"/>
  <c r="N54" i="4"/>
  <c r="N61" i="4" s="1"/>
  <c r="N51" i="4"/>
  <c r="N48" i="4"/>
  <c r="N48" i="5"/>
  <c r="N51" i="5"/>
  <c r="O24" i="5"/>
  <c r="O47" i="5" s="1"/>
  <c r="P14" i="5"/>
  <c r="P14" i="4"/>
  <c r="O24" i="4"/>
  <c r="O47" i="4" s="1"/>
  <c r="O60" i="4" s="1"/>
  <c r="P11" i="4"/>
  <c r="O19" i="4"/>
  <c r="O42" i="4" s="1"/>
  <c r="O55" i="4" s="1"/>
  <c r="O18" i="4"/>
  <c r="O41" i="4" s="1"/>
  <c r="O20" i="4"/>
  <c r="O43" i="4" s="1"/>
  <c r="O56" i="4" s="1"/>
  <c r="O21" i="4"/>
  <c r="O44" i="4" s="1"/>
  <c r="O57" i="4" s="1"/>
  <c r="R17" i="5"/>
  <c r="R40" i="5" s="1"/>
  <c r="R22" i="5"/>
  <c r="R45" i="5" s="1"/>
  <c r="S12" i="5"/>
  <c r="Q23" i="5"/>
  <c r="Q46" i="5" s="1"/>
  <c r="R13" i="5"/>
  <c r="R13" i="4"/>
  <c r="Q23" i="4"/>
  <c r="Q46" i="4" s="1"/>
  <c r="Q59" i="4" s="1"/>
  <c r="Q18" i="5"/>
  <c r="Q41" i="5" s="1"/>
  <c r="R11" i="5"/>
  <c r="Q21" i="5"/>
  <c r="Q44" i="5" s="1"/>
  <c r="Q20" i="5"/>
  <c r="Q43" i="5" s="1"/>
  <c r="Q19" i="5"/>
  <c r="Q42" i="5" s="1"/>
  <c r="AA75" i="4"/>
  <c r="AC64" i="4"/>
  <c r="AB65" i="4"/>
  <c r="AB69" i="4"/>
  <c r="AB73" i="4"/>
  <c r="AB67" i="4"/>
  <c r="AB68" i="4"/>
  <c r="AB74" i="4"/>
  <c r="AB71" i="4"/>
  <c r="AB70" i="4"/>
  <c r="AB72" i="4"/>
  <c r="Q53" i="4"/>
  <c r="S12" i="4"/>
  <c r="R17" i="4"/>
  <c r="R40" i="4" s="1"/>
  <c r="R22" i="4"/>
  <c r="R45" i="4" s="1"/>
  <c r="R58" i="4" s="1"/>
  <c r="N78" i="4" l="1"/>
  <c r="O51" i="5"/>
  <c r="O48" i="5"/>
  <c r="O54" i="4"/>
  <c r="O61" i="4" s="1"/>
  <c r="O48" i="4"/>
  <c r="O51" i="4"/>
  <c r="Q11" i="4"/>
  <c r="P21" i="4"/>
  <c r="P44" i="4" s="1"/>
  <c r="P57" i="4" s="1"/>
  <c r="P18" i="4"/>
  <c r="P41" i="4" s="1"/>
  <c r="P20" i="4"/>
  <c r="P43" i="4" s="1"/>
  <c r="P56" i="4" s="1"/>
  <c r="P19" i="4"/>
  <c r="P42" i="4" s="1"/>
  <c r="P55" i="4" s="1"/>
  <c r="Q14" i="4"/>
  <c r="P24" i="4"/>
  <c r="P47" i="4" s="1"/>
  <c r="P60" i="4" s="1"/>
  <c r="Q14" i="5"/>
  <c r="P24" i="5"/>
  <c r="P47" i="5" s="1"/>
  <c r="R53" i="4"/>
  <c r="S11" i="5"/>
  <c r="R21" i="5"/>
  <c r="R44" i="5" s="1"/>
  <c r="R20" i="5"/>
  <c r="R43" i="5" s="1"/>
  <c r="R19" i="5"/>
  <c r="R42" i="5" s="1"/>
  <c r="R18" i="5"/>
  <c r="R41" i="5" s="1"/>
  <c r="AD64" i="4"/>
  <c r="AC65" i="4"/>
  <c r="AC73" i="4"/>
  <c r="AC69" i="4"/>
  <c r="AC74" i="4"/>
  <c r="AC68" i="4"/>
  <c r="AC67" i="4"/>
  <c r="AC70" i="4"/>
  <c r="AC72" i="4"/>
  <c r="AC71" i="4"/>
  <c r="T12" i="4"/>
  <c r="S22" i="4"/>
  <c r="S45" i="4" s="1"/>
  <c r="S58" i="4" s="1"/>
  <c r="S17" i="4"/>
  <c r="S40" i="4" s="1"/>
  <c r="S13" i="5"/>
  <c r="R23" i="5"/>
  <c r="R46" i="5" s="1"/>
  <c r="S13" i="4"/>
  <c r="R23" i="4"/>
  <c r="R46" i="4" s="1"/>
  <c r="R59" i="4" s="1"/>
  <c r="AB75" i="4"/>
  <c r="T12" i="5"/>
  <c r="S22" i="5"/>
  <c r="S45" i="5" s="1"/>
  <c r="S17" i="5"/>
  <c r="S40" i="5" s="1"/>
  <c r="O78" i="4" l="1"/>
  <c r="P54" i="4"/>
  <c r="P61" i="4" s="1"/>
  <c r="P51" i="4"/>
  <c r="P48" i="4"/>
  <c r="P51" i="5"/>
  <c r="P48" i="5"/>
  <c r="R14" i="5"/>
  <c r="Q24" i="5"/>
  <c r="Q47" i="5" s="1"/>
  <c r="R14" i="4"/>
  <c r="Q24" i="4"/>
  <c r="Q47" i="4" s="1"/>
  <c r="Q60" i="4" s="1"/>
  <c r="R11" i="4"/>
  <c r="Q21" i="4"/>
  <c r="Q44" i="4" s="1"/>
  <c r="Q57" i="4" s="1"/>
  <c r="Q20" i="4"/>
  <c r="Q43" i="4" s="1"/>
  <c r="Q56" i="4" s="1"/>
  <c r="Q19" i="4"/>
  <c r="Q42" i="4" s="1"/>
  <c r="Q55" i="4" s="1"/>
  <c r="Q18" i="4"/>
  <c r="Q41" i="4" s="1"/>
  <c r="S53" i="4"/>
  <c r="S23" i="4"/>
  <c r="S46" i="4" s="1"/>
  <c r="S59" i="4" s="1"/>
  <c r="T13" i="4"/>
  <c r="S21" i="5"/>
  <c r="S44" i="5" s="1"/>
  <c r="S20" i="5"/>
  <c r="S43" i="5" s="1"/>
  <c r="S19" i="5"/>
  <c r="S42" i="5" s="1"/>
  <c r="S18" i="5"/>
  <c r="S41" i="5" s="1"/>
  <c r="T11" i="5"/>
  <c r="U12" i="5"/>
  <c r="T22" i="5"/>
  <c r="T45" i="5" s="1"/>
  <c r="T17" i="5"/>
  <c r="T40" i="5" s="1"/>
  <c r="AE64" i="4"/>
  <c r="AD69" i="4"/>
  <c r="AD68" i="4"/>
  <c r="AD73" i="4"/>
  <c r="AD65" i="4"/>
  <c r="AD74" i="4"/>
  <c r="AD67" i="4"/>
  <c r="AD71" i="4"/>
  <c r="AD70" i="4"/>
  <c r="AD72" i="4"/>
  <c r="T13" i="5"/>
  <c r="S23" i="5"/>
  <c r="S46" i="5" s="1"/>
  <c r="AC75" i="4"/>
  <c r="T22" i="4"/>
  <c r="T45" i="4" s="1"/>
  <c r="T58" i="4" s="1"/>
  <c r="U12" i="4"/>
  <c r="T17" i="4"/>
  <c r="T40" i="4" s="1"/>
  <c r="P78" i="4" l="1"/>
  <c r="Q51" i="5"/>
  <c r="Q48" i="5"/>
  <c r="Q54" i="4"/>
  <c r="Q61" i="4" s="1"/>
  <c r="Q48" i="4"/>
  <c r="Q51" i="4"/>
  <c r="R24" i="4"/>
  <c r="R47" i="4" s="1"/>
  <c r="R60" i="4" s="1"/>
  <c r="S14" i="4"/>
  <c r="R18" i="4"/>
  <c r="R41" i="4" s="1"/>
  <c r="R21" i="4"/>
  <c r="R44" i="4" s="1"/>
  <c r="R57" i="4" s="1"/>
  <c r="S11" i="4"/>
  <c r="R20" i="4"/>
  <c r="R43" i="4" s="1"/>
  <c r="R56" i="4" s="1"/>
  <c r="R19" i="4"/>
  <c r="R42" i="4" s="1"/>
  <c r="R55" i="4" s="1"/>
  <c r="S14" i="5"/>
  <c r="R24" i="5"/>
  <c r="R47" i="5" s="1"/>
  <c r="U22" i="5"/>
  <c r="U45" i="5" s="1"/>
  <c r="U17" i="5"/>
  <c r="U40" i="5" s="1"/>
  <c r="V12" i="5"/>
  <c r="U13" i="4"/>
  <c r="T23" i="4"/>
  <c r="T46" i="4" s="1"/>
  <c r="T59" i="4" s="1"/>
  <c r="T53" i="4"/>
  <c r="AF64" i="4"/>
  <c r="AE68" i="4"/>
  <c r="AE65" i="4"/>
  <c r="AE74" i="4"/>
  <c r="AE67" i="4"/>
  <c r="AE69" i="4"/>
  <c r="AE73" i="4"/>
  <c r="AE71" i="4"/>
  <c r="AE72" i="4"/>
  <c r="AE70" i="4"/>
  <c r="T23" i="5"/>
  <c r="T46" i="5" s="1"/>
  <c r="U13" i="5"/>
  <c r="V12" i="4"/>
  <c r="U22" i="4"/>
  <c r="U45" i="4" s="1"/>
  <c r="U58" i="4" s="1"/>
  <c r="U17" i="4"/>
  <c r="U40" i="4" s="1"/>
  <c r="AD75" i="4"/>
  <c r="U11" i="5"/>
  <c r="T21" i="5"/>
  <c r="T44" i="5" s="1"/>
  <c r="T20" i="5"/>
  <c r="T43" i="5" s="1"/>
  <c r="T19" i="5"/>
  <c r="T42" i="5" s="1"/>
  <c r="T18" i="5"/>
  <c r="T41" i="5" s="1"/>
  <c r="Q78" i="4" l="1"/>
  <c r="R54" i="4"/>
  <c r="R61" i="4" s="1"/>
  <c r="R48" i="4"/>
  <c r="R51" i="4"/>
  <c r="R51" i="5"/>
  <c r="R48" i="5"/>
  <c r="S21" i="4"/>
  <c r="S44" i="4" s="1"/>
  <c r="S57" i="4" s="1"/>
  <c r="S18" i="4"/>
  <c r="S41" i="4" s="1"/>
  <c r="S20" i="4"/>
  <c r="S43" i="4" s="1"/>
  <c r="S56" i="4" s="1"/>
  <c r="S19" i="4"/>
  <c r="S42" i="4" s="1"/>
  <c r="S55" i="4" s="1"/>
  <c r="T11" i="4"/>
  <c r="S24" i="4"/>
  <c r="S47" i="4" s="1"/>
  <c r="S60" i="4" s="1"/>
  <c r="T14" i="4"/>
  <c r="S24" i="5"/>
  <c r="S47" i="5" s="1"/>
  <c r="T14" i="5"/>
  <c r="U53" i="4"/>
  <c r="AE75" i="4"/>
  <c r="U23" i="4"/>
  <c r="U46" i="4" s="1"/>
  <c r="U59" i="4" s="1"/>
  <c r="V13" i="4"/>
  <c r="V22" i="5"/>
  <c r="V45" i="5" s="1"/>
  <c r="V17" i="5"/>
  <c r="V40" i="5" s="1"/>
  <c r="W12" i="5"/>
  <c r="V22" i="4"/>
  <c r="V45" i="4" s="1"/>
  <c r="V58" i="4" s="1"/>
  <c r="W12" i="4"/>
  <c r="V17" i="4"/>
  <c r="V40" i="4" s="1"/>
  <c r="V11" i="5"/>
  <c r="U21" i="5"/>
  <c r="U44" i="5" s="1"/>
  <c r="U20" i="5"/>
  <c r="U43" i="5" s="1"/>
  <c r="U19" i="5"/>
  <c r="U42" i="5" s="1"/>
  <c r="U18" i="5"/>
  <c r="U41" i="5" s="1"/>
  <c r="U23" i="5"/>
  <c r="U46" i="5" s="1"/>
  <c r="V13" i="5"/>
  <c r="AG64" i="4"/>
  <c r="AF74" i="4"/>
  <c r="AF68" i="4"/>
  <c r="AF67" i="4"/>
  <c r="AF69" i="4"/>
  <c r="AF73" i="4"/>
  <c r="AF65" i="4"/>
  <c r="AF71" i="4"/>
  <c r="AF70" i="4"/>
  <c r="AF72" i="4"/>
  <c r="R78" i="4" l="1"/>
  <c r="S54" i="4"/>
  <c r="S61" i="4" s="1"/>
  <c r="S51" i="4"/>
  <c r="S48" i="4"/>
  <c r="S48" i="5"/>
  <c r="S51" i="5"/>
  <c r="T24" i="4"/>
  <c r="T47" i="4" s="1"/>
  <c r="T60" i="4" s="1"/>
  <c r="U14" i="4"/>
  <c r="T21" i="4"/>
  <c r="T44" i="4" s="1"/>
  <c r="T57" i="4" s="1"/>
  <c r="U11" i="4"/>
  <c r="T18" i="4"/>
  <c r="T41" i="4" s="1"/>
  <c r="T20" i="4"/>
  <c r="T43" i="4" s="1"/>
  <c r="T56" i="4" s="1"/>
  <c r="T19" i="4"/>
  <c r="T42" i="4" s="1"/>
  <c r="T55" i="4" s="1"/>
  <c r="T24" i="5"/>
  <c r="T47" i="5" s="1"/>
  <c r="U14" i="5"/>
  <c r="W13" i="5"/>
  <c r="V23" i="5"/>
  <c r="V46" i="5" s="1"/>
  <c r="W17" i="5"/>
  <c r="W40" i="5" s="1"/>
  <c r="X12" i="5"/>
  <c r="W22" i="5"/>
  <c r="W45" i="5" s="1"/>
  <c r="AH64" i="4"/>
  <c r="AG73" i="4"/>
  <c r="AG65" i="4"/>
  <c r="AG67" i="4"/>
  <c r="AG68" i="4"/>
  <c r="AG69" i="4"/>
  <c r="AG74" i="4"/>
  <c r="AG70" i="4"/>
  <c r="AG71" i="4"/>
  <c r="AG72" i="4"/>
  <c r="V21" i="5"/>
  <c r="V44" i="5" s="1"/>
  <c r="V20" i="5"/>
  <c r="V43" i="5" s="1"/>
  <c r="V19" i="5"/>
  <c r="V42" i="5" s="1"/>
  <c r="V18" i="5"/>
  <c r="V41" i="5" s="1"/>
  <c r="W11" i="5"/>
  <c r="X12" i="4"/>
  <c r="W17" i="4"/>
  <c r="W40" i="4" s="1"/>
  <c r="W22" i="4"/>
  <c r="W45" i="4" s="1"/>
  <c r="W58" i="4" s="1"/>
  <c r="V23" i="4"/>
  <c r="V46" i="4" s="1"/>
  <c r="V59" i="4" s="1"/>
  <c r="W13" i="4"/>
  <c r="V53" i="4"/>
  <c r="AF75" i="4"/>
  <c r="S78" i="4" l="1"/>
  <c r="T51" i="5"/>
  <c r="T48" i="5"/>
  <c r="T54" i="4"/>
  <c r="T61" i="4" s="1"/>
  <c r="T48" i="4"/>
  <c r="T51" i="4"/>
  <c r="U19" i="4"/>
  <c r="U42" i="4" s="1"/>
  <c r="U55" i="4" s="1"/>
  <c r="U18" i="4"/>
  <c r="U41" i="4" s="1"/>
  <c r="V11" i="4"/>
  <c r="U21" i="4"/>
  <c r="U44" i="4" s="1"/>
  <c r="U57" i="4" s="1"/>
  <c r="U20" i="4"/>
  <c r="U43" i="4" s="1"/>
  <c r="U56" i="4" s="1"/>
  <c r="U24" i="4"/>
  <c r="U47" i="4" s="1"/>
  <c r="U60" i="4" s="1"/>
  <c r="V14" i="4"/>
  <c r="U24" i="5"/>
  <c r="U47" i="5" s="1"/>
  <c r="V14" i="5"/>
  <c r="X17" i="5"/>
  <c r="X40" i="5" s="1"/>
  <c r="Y12" i="5"/>
  <c r="X22" i="5"/>
  <c r="X45" i="5" s="1"/>
  <c r="W20" i="5"/>
  <c r="W43" i="5" s="1"/>
  <c r="W19" i="5"/>
  <c r="W42" i="5" s="1"/>
  <c r="W18" i="5"/>
  <c r="W41" i="5" s="1"/>
  <c r="W21" i="5"/>
  <c r="W44" i="5" s="1"/>
  <c r="X11" i="5"/>
  <c r="AG75" i="4"/>
  <c r="W23" i="5"/>
  <c r="W46" i="5" s="1"/>
  <c r="X13" i="5"/>
  <c r="W23" i="4"/>
  <c r="W46" i="4" s="1"/>
  <c r="W59" i="4" s="1"/>
  <c r="X13" i="4"/>
  <c r="W53" i="4"/>
  <c r="X22" i="4"/>
  <c r="X45" i="4" s="1"/>
  <c r="X58" i="4" s="1"/>
  <c r="X17" i="4"/>
  <c r="X40" i="4" s="1"/>
  <c r="Y12" i="4"/>
  <c r="AI64" i="4"/>
  <c r="AH73" i="4"/>
  <c r="AH67" i="4"/>
  <c r="AH68" i="4"/>
  <c r="AH69" i="4"/>
  <c r="AH74" i="4"/>
  <c r="AH65" i="4"/>
  <c r="AH72" i="4"/>
  <c r="AH71" i="4"/>
  <c r="AH70" i="4"/>
  <c r="U48" i="5" l="1"/>
  <c r="U51" i="5"/>
  <c r="T78" i="4"/>
  <c r="U54" i="4"/>
  <c r="U61" i="4" s="1"/>
  <c r="U51" i="4"/>
  <c r="U48" i="4"/>
  <c r="V24" i="4"/>
  <c r="V47" i="4" s="1"/>
  <c r="V60" i="4" s="1"/>
  <c r="W14" i="4"/>
  <c r="V20" i="4"/>
  <c r="V43" i="4" s="1"/>
  <c r="V56" i="4" s="1"/>
  <c r="V19" i="4"/>
  <c r="V42" i="4" s="1"/>
  <c r="V55" i="4" s="1"/>
  <c r="W11" i="4"/>
  <c r="V21" i="4"/>
  <c r="V44" i="4" s="1"/>
  <c r="V57" i="4" s="1"/>
  <c r="V18" i="4"/>
  <c r="V41" i="4" s="1"/>
  <c r="V24" i="5"/>
  <c r="V47" i="5" s="1"/>
  <c r="W14" i="5"/>
  <c r="AH75" i="4"/>
  <c r="Y17" i="5"/>
  <c r="Y40" i="5" s="1"/>
  <c r="Z12" i="5"/>
  <c r="Y22" i="5"/>
  <c r="Y45" i="5" s="1"/>
  <c r="X19" i="5"/>
  <c r="X42" i="5" s="1"/>
  <c r="X18" i="5"/>
  <c r="X41" i="5" s="1"/>
  <c r="X20" i="5"/>
  <c r="X43" i="5" s="1"/>
  <c r="Y11" i="5"/>
  <c r="X21" i="5"/>
  <c r="X44" i="5" s="1"/>
  <c r="X53" i="4"/>
  <c r="AJ64" i="4"/>
  <c r="AI74" i="4"/>
  <c r="AI67" i="4"/>
  <c r="AI69" i="4"/>
  <c r="AI68" i="4"/>
  <c r="AI65" i="4"/>
  <c r="AI73" i="4"/>
  <c r="AI70" i="4"/>
  <c r="AI71" i="4"/>
  <c r="AI72" i="4"/>
  <c r="Y17" i="4"/>
  <c r="Y40" i="4" s="1"/>
  <c r="Y22" i="4"/>
  <c r="Y45" i="4" s="1"/>
  <c r="Y58" i="4" s="1"/>
  <c r="Z12" i="4"/>
  <c r="X23" i="4"/>
  <c r="X46" i="4" s="1"/>
  <c r="X59" i="4" s="1"/>
  <c r="Y13" i="4"/>
  <c r="X23" i="5"/>
  <c r="X46" i="5" s="1"/>
  <c r="Y13" i="5"/>
  <c r="V51" i="5" l="1"/>
  <c r="V48" i="5"/>
  <c r="U78" i="4"/>
  <c r="V54" i="4"/>
  <c r="V61" i="4" s="1"/>
  <c r="V51" i="4"/>
  <c r="V48" i="4"/>
  <c r="W20" i="4"/>
  <c r="W43" i="4" s="1"/>
  <c r="W56" i="4" s="1"/>
  <c r="X11" i="4"/>
  <c r="W18" i="4"/>
  <c r="W41" i="4" s="1"/>
  <c r="W21" i="4"/>
  <c r="W44" i="4" s="1"/>
  <c r="W57" i="4" s="1"/>
  <c r="W19" i="4"/>
  <c r="W42" i="4" s="1"/>
  <c r="W55" i="4" s="1"/>
  <c r="W24" i="4"/>
  <c r="W47" i="4" s="1"/>
  <c r="W60" i="4" s="1"/>
  <c r="X14" i="4"/>
  <c r="X14" i="5"/>
  <c r="W24" i="5"/>
  <c r="W47" i="5" s="1"/>
  <c r="Y53" i="4"/>
  <c r="Y23" i="5"/>
  <c r="Y46" i="5" s="1"/>
  <c r="Z13" i="5"/>
  <c r="Y18" i="5"/>
  <c r="Y41" i="5" s="1"/>
  <c r="Y19" i="5"/>
  <c r="Y42" i="5" s="1"/>
  <c r="Z11" i="5"/>
  <c r="Y21" i="5"/>
  <c r="Y44" i="5" s="1"/>
  <c r="Y20" i="5"/>
  <c r="Y43" i="5" s="1"/>
  <c r="AK64" i="4"/>
  <c r="AJ68" i="4"/>
  <c r="AJ74" i="4"/>
  <c r="AJ69" i="4"/>
  <c r="AJ65" i="4"/>
  <c r="AJ73" i="4"/>
  <c r="AJ67" i="4"/>
  <c r="AJ71" i="4"/>
  <c r="AJ72" i="4"/>
  <c r="AJ70" i="4"/>
  <c r="Z17" i="5"/>
  <c r="Z40" i="5" s="1"/>
  <c r="Z22" i="5"/>
  <c r="Z45" i="5" s="1"/>
  <c r="AA12" i="5"/>
  <c r="Z13" i="4"/>
  <c r="Y23" i="4"/>
  <c r="Y46" i="4" s="1"/>
  <c r="Y59" i="4" s="1"/>
  <c r="AI75" i="4"/>
  <c r="AA12" i="4"/>
  <c r="Z17" i="4"/>
  <c r="Z40" i="4" s="1"/>
  <c r="Z22" i="4"/>
  <c r="Z45" i="4" s="1"/>
  <c r="Z58" i="4" s="1"/>
  <c r="W48" i="5" l="1"/>
  <c r="W51" i="5"/>
  <c r="V78" i="4"/>
  <c r="W54" i="4"/>
  <c r="W61" i="4" s="1"/>
  <c r="W51" i="4"/>
  <c r="W48" i="4"/>
  <c r="X24" i="5"/>
  <c r="X47" i="5" s="1"/>
  <c r="Y14" i="5"/>
  <c r="Y14" i="4"/>
  <c r="X24" i="4"/>
  <c r="X47" i="4" s="1"/>
  <c r="X60" i="4" s="1"/>
  <c r="Y11" i="4"/>
  <c r="X18" i="4"/>
  <c r="X41" i="4" s="1"/>
  <c r="X20" i="4"/>
  <c r="X43" i="4" s="1"/>
  <c r="X56" i="4" s="1"/>
  <c r="X21" i="4"/>
  <c r="X44" i="4" s="1"/>
  <c r="X57" i="4" s="1"/>
  <c r="X19" i="4"/>
  <c r="X42" i="4" s="1"/>
  <c r="X55" i="4" s="1"/>
  <c r="AA13" i="4"/>
  <c r="Z23" i="4"/>
  <c r="Z46" i="4" s="1"/>
  <c r="Z59" i="4" s="1"/>
  <c r="Z53" i="4"/>
  <c r="AB12" i="5"/>
  <c r="AA22" i="5"/>
  <c r="AA45" i="5" s="1"/>
  <c r="AA17" i="5"/>
  <c r="AA40" i="5" s="1"/>
  <c r="AB12" i="4"/>
  <c r="AA17" i="4"/>
  <c r="AA40" i="4" s="1"/>
  <c r="AA22" i="4"/>
  <c r="AA45" i="4" s="1"/>
  <c r="AA58" i="4" s="1"/>
  <c r="AJ75" i="4"/>
  <c r="Z18" i="5"/>
  <c r="Z41" i="5" s="1"/>
  <c r="AA11" i="5"/>
  <c r="Z21" i="5"/>
  <c r="Z44" i="5" s="1"/>
  <c r="Z20" i="5"/>
  <c r="Z43" i="5" s="1"/>
  <c r="Z19" i="5"/>
  <c r="Z42" i="5" s="1"/>
  <c r="AL64" i="4"/>
  <c r="AK74" i="4"/>
  <c r="AK73" i="4"/>
  <c r="AK69" i="4"/>
  <c r="AK67" i="4"/>
  <c r="AK68" i="4"/>
  <c r="AK65" i="4"/>
  <c r="AK72" i="4"/>
  <c r="AK71" i="4"/>
  <c r="AK70" i="4"/>
  <c r="AA13" i="5"/>
  <c r="Z23" i="5"/>
  <c r="Z46" i="5" s="1"/>
  <c r="W78" i="4" l="1"/>
  <c r="X54" i="4"/>
  <c r="X61" i="4" s="1"/>
  <c r="X48" i="4"/>
  <c r="X51" i="4"/>
  <c r="X51" i="5"/>
  <c r="X48" i="5"/>
  <c r="Y21" i="4"/>
  <c r="Y44" i="4" s="1"/>
  <c r="Y57" i="4" s="1"/>
  <c r="Y19" i="4"/>
  <c r="Y42" i="4" s="1"/>
  <c r="Y55" i="4" s="1"/>
  <c r="Y20" i="4"/>
  <c r="Y43" i="4" s="1"/>
  <c r="Y56" i="4" s="1"/>
  <c r="Y18" i="4"/>
  <c r="Y41" i="4" s="1"/>
  <c r="Z11" i="4"/>
  <c r="Z14" i="4"/>
  <c r="Y24" i="4"/>
  <c r="Y47" i="4" s="1"/>
  <c r="Y60" i="4" s="1"/>
  <c r="Z14" i="5"/>
  <c r="Y24" i="5"/>
  <c r="Y47" i="5" s="1"/>
  <c r="AB13" i="5"/>
  <c r="AA23" i="5"/>
  <c r="AA46" i="5" s="1"/>
  <c r="AA23" i="4"/>
  <c r="AA46" i="4" s="1"/>
  <c r="AA59" i="4" s="1"/>
  <c r="AB13" i="4"/>
  <c r="AC12" i="5"/>
  <c r="AB22" i="5"/>
  <c r="AB45" i="5" s="1"/>
  <c r="AB17" i="5"/>
  <c r="AB40" i="5" s="1"/>
  <c r="AK75" i="4"/>
  <c r="AB22" i="4"/>
  <c r="AB45" i="4" s="1"/>
  <c r="AB58" i="4" s="1"/>
  <c r="AB17" i="4"/>
  <c r="AB40" i="4" s="1"/>
  <c r="AC12" i="4"/>
  <c r="AM64" i="4"/>
  <c r="AL69" i="4"/>
  <c r="AL68" i="4"/>
  <c r="AL67" i="4"/>
  <c r="AL65" i="4"/>
  <c r="AL74" i="4"/>
  <c r="AL73" i="4"/>
  <c r="AL70" i="4"/>
  <c r="AL72" i="4"/>
  <c r="AL71" i="4"/>
  <c r="AB11" i="5"/>
  <c r="AA21" i="5"/>
  <c r="AA44" i="5" s="1"/>
  <c r="AA20" i="5"/>
  <c r="AA43" i="5" s="1"/>
  <c r="AA19" i="5"/>
  <c r="AA42" i="5" s="1"/>
  <c r="AA18" i="5"/>
  <c r="AA41" i="5" s="1"/>
  <c r="AA53" i="4"/>
  <c r="X78" i="4" l="1"/>
  <c r="Y54" i="4"/>
  <c r="Y61" i="4" s="1"/>
  <c r="Y48" i="4"/>
  <c r="Y51" i="4"/>
  <c r="Y51" i="5"/>
  <c r="Y48" i="5"/>
  <c r="AA14" i="5"/>
  <c r="Z24" i="5"/>
  <c r="Z47" i="5" s="1"/>
  <c r="Z24" i="4"/>
  <c r="Z47" i="4" s="1"/>
  <c r="Z60" i="4" s="1"/>
  <c r="AA14" i="4"/>
  <c r="Z21" i="4"/>
  <c r="Z44" i="4" s="1"/>
  <c r="Z57" i="4" s="1"/>
  <c r="Z20" i="4"/>
  <c r="Z43" i="4" s="1"/>
  <c r="Z56" i="4" s="1"/>
  <c r="Z19" i="4"/>
  <c r="Z42" i="4" s="1"/>
  <c r="Z55" i="4" s="1"/>
  <c r="AA11" i="4"/>
  <c r="Z18" i="4"/>
  <c r="Z41" i="4" s="1"/>
  <c r="AN64" i="4"/>
  <c r="AM67" i="4"/>
  <c r="AM68" i="4"/>
  <c r="AM73" i="4"/>
  <c r="AM65" i="4"/>
  <c r="AM69" i="4"/>
  <c r="AM74" i="4"/>
  <c r="AM72" i="4"/>
  <c r="AM71" i="4"/>
  <c r="AM70" i="4"/>
  <c r="AC22" i="4"/>
  <c r="AC45" i="4" s="1"/>
  <c r="AC58" i="4" s="1"/>
  <c r="AD12" i="4"/>
  <c r="AC17" i="4"/>
  <c r="AC40" i="4" s="1"/>
  <c r="AL75" i="4"/>
  <c r="AC22" i="5"/>
  <c r="AC45" i="5" s="1"/>
  <c r="AC17" i="5"/>
  <c r="AC40" i="5" s="1"/>
  <c r="AD12" i="5"/>
  <c r="AB23" i="5"/>
  <c r="AB46" i="5" s="1"/>
  <c r="AC13" i="5"/>
  <c r="AB53" i="4"/>
  <c r="AC11" i="5"/>
  <c r="AB21" i="5"/>
  <c r="AB44" i="5" s="1"/>
  <c r="AB20" i="5"/>
  <c r="AB43" i="5" s="1"/>
  <c r="AB19" i="5"/>
  <c r="AB42" i="5" s="1"/>
  <c r="AB18" i="5"/>
  <c r="AB41" i="5" s="1"/>
  <c r="AB23" i="4"/>
  <c r="AB46" i="4" s="1"/>
  <c r="AB59" i="4" s="1"/>
  <c r="AC13" i="4"/>
  <c r="Y78" i="4" l="1"/>
  <c r="Z48" i="5"/>
  <c r="Z51" i="5"/>
  <c r="Z54" i="4"/>
  <c r="Z61" i="4" s="1"/>
  <c r="Z51" i="4"/>
  <c r="Z48" i="4"/>
  <c r="AA19" i="4"/>
  <c r="AA42" i="4" s="1"/>
  <c r="AA55" i="4" s="1"/>
  <c r="AA18" i="4"/>
  <c r="AA41" i="4" s="1"/>
  <c r="AB11" i="4"/>
  <c r="AA21" i="4"/>
  <c r="AA44" i="4" s="1"/>
  <c r="AA57" i="4" s="1"/>
  <c r="AA20" i="4"/>
  <c r="AA43" i="4" s="1"/>
  <c r="AA56" i="4" s="1"/>
  <c r="AB14" i="4"/>
  <c r="AA24" i="4"/>
  <c r="AA47" i="4" s="1"/>
  <c r="AA60" i="4" s="1"/>
  <c r="AB14" i="5"/>
  <c r="AA24" i="5"/>
  <c r="AA47" i="5" s="1"/>
  <c r="AD17" i="4"/>
  <c r="AD40" i="4" s="1"/>
  <c r="AD22" i="4"/>
  <c r="AD45" i="4" s="1"/>
  <c r="AD58" i="4" s="1"/>
  <c r="AE12" i="4"/>
  <c r="AM75" i="4"/>
  <c r="AC23" i="5"/>
  <c r="AC46" i="5" s="1"/>
  <c r="AD13" i="5"/>
  <c r="AO64" i="4"/>
  <c r="AN68" i="4"/>
  <c r="AN67" i="4"/>
  <c r="AN74" i="4"/>
  <c r="AN65" i="4"/>
  <c r="AN69" i="4"/>
  <c r="AN73" i="4"/>
  <c r="AN71" i="4"/>
  <c r="AN70" i="4"/>
  <c r="AN72" i="4"/>
  <c r="AC23" i="4"/>
  <c r="AC46" i="4" s="1"/>
  <c r="AC59" i="4" s="1"/>
  <c r="AD13" i="4"/>
  <c r="AD22" i="5"/>
  <c r="AD45" i="5" s="1"/>
  <c r="AD17" i="5"/>
  <c r="AD40" i="5" s="1"/>
  <c r="AE12" i="5"/>
  <c r="AC53" i="4"/>
  <c r="AD11" i="5"/>
  <c r="AC21" i="5"/>
  <c r="AC44" i="5" s="1"/>
  <c r="AC20" i="5"/>
  <c r="AC43" i="5" s="1"/>
  <c r="AC19" i="5"/>
  <c r="AC42" i="5" s="1"/>
  <c r="AC18" i="5"/>
  <c r="AC41" i="5" s="1"/>
  <c r="Z78" i="4" l="1"/>
  <c r="AA54" i="4"/>
  <c r="AA61" i="4" s="1"/>
  <c r="AA51" i="4"/>
  <c r="AA48" i="4"/>
  <c r="AA48" i="5"/>
  <c r="AA51" i="5"/>
  <c r="AB24" i="5"/>
  <c r="AB47" i="5" s="1"/>
  <c r="AC14" i="5"/>
  <c r="AC14" i="4"/>
  <c r="AB24" i="4"/>
  <c r="AB47" i="4" s="1"/>
  <c r="AB60" i="4" s="1"/>
  <c r="AB20" i="4"/>
  <c r="AB43" i="4" s="1"/>
  <c r="AB56" i="4" s="1"/>
  <c r="AB19" i="4"/>
  <c r="AB42" i="4" s="1"/>
  <c r="AB55" i="4" s="1"/>
  <c r="AC11" i="4"/>
  <c r="AB18" i="4"/>
  <c r="AB41" i="4" s="1"/>
  <c r="AB21" i="4"/>
  <c r="AB44" i="4" s="1"/>
  <c r="AB57" i="4" s="1"/>
  <c r="AD53" i="4"/>
  <c r="AD23" i="4"/>
  <c r="AD46" i="4" s="1"/>
  <c r="AD59" i="4" s="1"/>
  <c r="AE13" i="4"/>
  <c r="AN75" i="4"/>
  <c r="AD21" i="5"/>
  <c r="AD44" i="5" s="1"/>
  <c r="AD20" i="5"/>
  <c r="AD43" i="5" s="1"/>
  <c r="AD19" i="5"/>
  <c r="AD42" i="5" s="1"/>
  <c r="AE11" i="5"/>
  <c r="AD18" i="5"/>
  <c r="AD41" i="5" s="1"/>
  <c r="AP64" i="4"/>
  <c r="AO69" i="4"/>
  <c r="AO74" i="4"/>
  <c r="AO65" i="4"/>
  <c r="AO67" i="4"/>
  <c r="AO68" i="4"/>
  <c r="AO73" i="4"/>
  <c r="AO71" i="4"/>
  <c r="AO70" i="4"/>
  <c r="AO72" i="4"/>
  <c r="AD23" i="5"/>
  <c r="AD46" i="5" s="1"/>
  <c r="AE13" i="5"/>
  <c r="AE22" i="5"/>
  <c r="AE45" i="5" s="1"/>
  <c r="AE17" i="5"/>
  <c r="AE40" i="5" s="1"/>
  <c r="AF12" i="5"/>
  <c r="AE22" i="4"/>
  <c r="AE45" i="4" s="1"/>
  <c r="AE58" i="4" s="1"/>
  <c r="AF12" i="4"/>
  <c r="AE17" i="4"/>
  <c r="AE40" i="4" s="1"/>
  <c r="AA78" i="4" l="1"/>
  <c r="AB48" i="5"/>
  <c r="AB51" i="5"/>
  <c r="AB54" i="4"/>
  <c r="AB61" i="4" s="1"/>
  <c r="AB48" i="4"/>
  <c r="AB51" i="4"/>
  <c r="AC24" i="4"/>
  <c r="AC47" i="4" s="1"/>
  <c r="AC60" i="4" s="1"/>
  <c r="AD14" i="4"/>
  <c r="AC20" i="4"/>
  <c r="AC43" i="4" s="1"/>
  <c r="AC56" i="4" s="1"/>
  <c r="AC18" i="4"/>
  <c r="AC41" i="4" s="1"/>
  <c r="AC19" i="4"/>
  <c r="AC42" i="4" s="1"/>
  <c r="AC55" i="4" s="1"/>
  <c r="AD11" i="4"/>
  <c r="AC21" i="4"/>
  <c r="AC44" i="4" s="1"/>
  <c r="AC57" i="4" s="1"/>
  <c r="AD14" i="5"/>
  <c r="AC24" i="5"/>
  <c r="AC47" i="5" s="1"/>
  <c r="AE23" i="5"/>
  <c r="AE46" i="5" s="1"/>
  <c r="AF13" i="5"/>
  <c r="AE20" i="5"/>
  <c r="AE43" i="5" s="1"/>
  <c r="AE19" i="5"/>
  <c r="AE42" i="5" s="1"/>
  <c r="AE18" i="5"/>
  <c r="AE41" i="5" s="1"/>
  <c r="AE21" i="5"/>
  <c r="AE44" i="5" s="1"/>
  <c r="AF11" i="5"/>
  <c r="AE53" i="4"/>
  <c r="AO75" i="4"/>
  <c r="AF22" i="4"/>
  <c r="AF45" i="4" s="1"/>
  <c r="AF58" i="4" s="1"/>
  <c r="AF17" i="4"/>
  <c r="AF40" i="4" s="1"/>
  <c r="AG12" i="4"/>
  <c r="AE23" i="4"/>
  <c r="AE46" i="4" s="1"/>
  <c r="AE59" i="4" s="1"/>
  <c r="AF13" i="4"/>
  <c r="AF17" i="5"/>
  <c r="AF40" i="5" s="1"/>
  <c r="AF22" i="5"/>
  <c r="AF45" i="5" s="1"/>
  <c r="AG12" i="5"/>
  <c r="AQ64" i="4"/>
  <c r="AP65" i="4"/>
  <c r="AP69" i="4"/>
  <c r="AP73" i="4"/>
  <c r="AP67" i="4"/>
  <c r="AP74" i="4"/>
  <c r="AP68" i="4"/>
  <c r="AP72" i="4"/>
  <c r="AP71" i="4"/>
  <c r="AP70" i="4"/>
  <c r="AC48" i="5" l="1"/>
  <c r="AC51" i="5"/>
  <c r="AB78" i="4"/>
  <c r="AC54" i="4"/>
  <c r="AC61" i="4" s="1"/>
  <c r="AC48" i="4"/>
  <c r="AC51" i="4"/>
  <c r="AD24" i="5"/>
  <c r="AD47" i="5" s="1"/>
  <c r="AE14" i="5"/>
  <c r="AD18" i="4"/>
  <c r="AD41" i="4" s="1"/>
  <c r="AD21" i="4"/>
  <c r="AD44" i="4" s="1"/>
  <c r="AD57" i="4" s="1"/>
  <c r="AD19" i="4"/>
  <c r="AD42" i="4" s="1"/>
  <c r="AD55" i="4" s="1"/>
  <c r="AD20" i="4"/>
  <c r="AD43" i="4" s="1"/>
  <c r="AD56" i="4" s="1"/>
  <c r="AE11" i="4"/>
  <c r="AD24" i="4"/>
  <c r="AD47" i="4" s="1"/>
  <c r="AD60" i="4" s="1"/>
  <c r="AE14" i="4"/>
  <c r="AF53" i="4"/>
  <c r="AF23" i="5"/>
  <c r="AF46" i="5" s="1"/>
  <c r="AG13" i="5"/>
  <c r="AF19" i="5"/>
  <c r="AF42" i="5" s="1"/>
  <c r="AF18" i="5"/>
  <c r="AF41" i="5" s="1"/>
  <c r="AF21" i="5"/>
  <c r="AF44" i="5" s="1"/>
  <c r="AF20" i="5"/>
  <c r="AF43" i="5" s="1"/>
  <c r="AG11" i="5"/>
  <c r="AR64" i="4"/>
  <c r="AQ67" i="4"/>
  <c r="AQ69" i="4"/>
  <c r="AQ73" i="4"/>
  <c r="AQ74" i="4"/>
  <c r="AQ68" i="4"/>
  <c r="AQ70" i="4"/>
  <c r="AQ65" i="4"/>
  <c r="AQ71" i="4"/>
  <c r="AQ72" i="4"/>
  <c r="AG13" i="4"/>
  <c r="AF23" i="4"/>
  <c r="AF46" i="4" s="1"/>
  <c r="AF59" i="4" s="1"/>
  <c r="AG17" i="5"/>
  <c r="AG40" i="5" s="1"/>
  <c r="AG22" i="5"/>
  <c r="AG45" i="5" s="1"/>
  <c r="AH12" i="5"/>
  <c r="AP75" i="4"/>
  <c r="AG17" i="4"/>
  <c r="AG40" i="4" s="1"/>
  <c r="AG22" i="4"/>
  <c r="AG45" i="4" s="1"/>
  <c r="AG58" i="4" s="1"/>
  <c r="AH12" i="4"/>
  <c r="AC78" i="4" l="1"/>
  <c r="AD51" i="5"/>
  <c r="AD48" i="5"/>
  <c r="AD54" i="4"/>
  <c r="AD61" i="4" s="1"/>
  <c r="AD51" i="4"/>
  <c r="AD48" i="4"/>
  <c r="AE18" i="4"/>
  <c r="AE41" i="4" s="1"/>
  <c r="AF11" i="4"/>
  <c r="AE21" i="4"/>
  <c r="AE44" i="4" s="1"/>
  <c r="AE57" i="4" s="1"/>
  <c r="AE20" i="4"/>
  <c r="AE43" i="4" s="1"/>
  <c r="AE56" i="4" s="1"/>
  <c r="AE19" i="4"/>
  <c r="AE42" i="4" s="1"/>
  <c r="AE55" i="4" s="1"/>
  <c r="AE24" i="5"/>
  <c r="AE47" i="5" s="1"/>
  <c r="AF14" i="5"/>
  <c r="AE24" i="4"/>
  <c r="AE47" i="4" s="1"/>
  <c r="AE60" i="4" s="1"/>
  <c r="AF14" i="4"/>
  <c r="AG18" i="5"/>
  <c r="AG41" i="5" s="1"/>
  <c r="AG21" i="5"/>
  <c r="AG44" i="5" s="1"/>
  <c r="AG20" i="5"/>
  <c r="AG43" i="5" s="1"/>
  <c r="AG19" i="5"/>
  <c r="AG42" i="5" s="1"/>
  <c r="AH11" i="5"/>
  <c r="AG53" i="4"/>
  <c r="AS64" i="4"/>
  <c r="AR67" i="4"/>
  <c r="AR73" i="4"/>
  <c r="AR68" i="4"/>
  <c r="AR74" i="4"/>
  <c r="AR69" i="4"/>
  <c r="AR70" i="4"/>
  <c r="AR71" i="4"/>
  <c r="AR65" i="4"/>
  <c r="AR72" i="4"/>
  <c r="AG23" i="5"/>
  <c r="AG46" i="5" s="1"/>
  <c r="AH13" i="5"/>
  <c r="AI12" i="4"/>
  <c r="AH22" i="4"/>
  <c r="AH45" i="4" s="1"/>
  <c r="AH58" i="4" s="1"/>
  <c r="AH17" i="4"/>
  <c r="AH40" i="4" s="1"/>
  <c r="AQ75" i="4"/>
  <c r="AH13" i="4"/>
  <c r="AG23" i="4"/>
  <c r="AG46" i="4" s="1"/>
  <c r="AG59" i="4" s="1"/>
  <c r="AH17" i="5"/>
  <c r="AH40" i="5" s="1"/>
  <c r="AI12" i="5"/>
  <c r="AH22" i="5"/>
  <c r="AH45" i="5" s="1"/>
  <c r="AD78" i="4" l="1"/>
  <c r="AE54" i="4"/>
  <c r="AE61" i="4" s="1"/>
  <c r="AE48" i="4"/>
  <c r="AE51" i="4"/>
  <c r="AE51" i="5"/>
  <c r="AE48" i="5"/>
  <c r="AG14" i="5"/>
  <c r="AF24" i="5"/>
  <c r="AF47" i="5" s="1"/>
  <c r="AF21" i="4"/>
  <c r="AF44" i="4" s="1"/>
  <c r="AF57" i="4" s="1"/>
  <c r="AF20" i="4"/>
  <c r="AF43" i="4" s="1"/>
  <c r="AF56" i="4" s="1"/>
  <c r="AF18" i="4"/>
  <c r="AF41" i="4" s="1"/>
  <c r="AF19" i="4"/>
  <c r="AF42" i="4" s="1"/>
  <c r="AF55" i="4" s="1"/>
  <c r="AG11" i="4"/>
  <c r="AF24" i="4"/>
  <c r="AF47" i="4" s="1"/>
  <c r="AF60" i="4" s="1"/>
  <c r="AG14" i="4"/>
  <c r="AR75" i="4"/>
  <c r="AJ12" i="5"/>
  <c r="AI22" i="5"/>
  <c r="AI45" i="5" s="1"/>
  <c r="AI17" i="5"/>
  <c r="AI40" i="5" s="1"/>
  <c r="AH53" i="4"/>
  <c r="AH21" i="5"/>
  <c r="AH44" i="5" s="1"/>
  <c r="AH20" i="5"/>
  <c r="AH43" i="5" s="1"/>
  <c r="AH19" i="5"/>
  <c r="AH42" i="5" s="1"/>
  <c r="AH18" i="5"/>
  <c r="AH41" i="5" s="1"/>
  <c r="AI11" i="5"/>
  <c r="AI13" i="4"/>
  <c r="AH23" i="4"/>
  <c r="AH46" i="4" s="1"/>
  <c r="AH59" i="4" s="1"/>
  <c r="AT64" i="4"/>
  <c r="AS67" i="4"/>
  <c r="AS73" i="4"/>
  <c r="AS68" i="4"/>
  <c r="AS74" i="4"/>
  <c r="AS69" i="4"/>
  <c r="AS65" i="4"/>
  <c r="AS72" i="4"/>
  <c r="AS71" i="4"/>
  <c r="AS70" i="4"/>
  <c r="AJ12" i="4"/>
  <c r="AI17" i="4"/>
  <c r="AI40" i="4" s="1"/>
  <c r="AI22" i="4"/>
  <c r="AI45" i="4" s="1"/>
  <c r="AI58" i="4" s="1"/>
  <c r="AI13" i="5"/>
  <c r="AH23" i="5"/>
  <c r="AH46" i="5" s="1"/>
  <c r="AE78" i="4" l="1"/>
  <c r="AF51" i="5"/>
  <c r="AF48" i="5"/>
  <c r="AF54" i="4"/>
  <c r="AF61" i="4" s="1"/>
  <c r="AF51" i="4"/>
  <c r="AF48" i="4"/>
  <c r="AG19" i="4"/>
  <c r="AG42" i="4" s="1"/>
  <c r="AG55" i="4" s="1"/>
  <c r="AG20" i="4"/>
  <c r="AG43" i="4" s="1"/>
  <c r="AG56" i="4" s="1"/>
  <c r="AG18" i="4"/>
  <c r="AG41" i="4" s="1"/>
  <c r="AH11" i="4"/>
  <c r="AG21" i="4"/>
  <c r="AG44" i="4" s="1"/>
  <c r="AG57" i="4" s="1"/>
  <c r="AH14" i="4"/>
  <c r="AG24" i="4"/>
  <c r="AG47" i="4" s="1"/>
  <c r="AG60" i="4" s="1"/>
  <c r="AH14" i="5"/>
  <c r="AG24" i="5"/>
  <c r="AG47" i="5" s="1"/>
  <c r="AJ13" i="5"/>
  <c r="AI23" i="5"/>
  <c r="AI46" i="5" s="1"/>
  <c r="AI20" i="5"/>
  <c r="AI43" i="5" s="1"/>
  <c r="AI19" i="5"/>
  <c r="AI42" i="5" s="1"/>
  <c r="AI18" i="5"/>
  <c r="AI41" i="5" s="1"/>
  <c r="AJ11" i="5"/>
  <c r="AI21" i="5"/>
  <c r="AI44" i="5" s="1"/>
  <c r="AS75" i="4"/>
  <c r="AU64" i="4"/>
  <c r="AT67" i="4"/>
  <c r="AT74" i="4"/>
  <c r="AT69" i="4"/>
  <c r="AT73" i="4"/>
  <c r="AT68" i="4"/>
  <c r="AT71" i="4"/>
  <c r="AT72" i="4"/>
  <c r="AT70" i="4"/>
  <c r="AT65" i="4"/>
  <c r="AK12" i="5"/>
  <c r="AJ22" i="5"/>
  <c r="AJ45" i="5" s="1"/>
  <c r="AJ17" i="5"/>
  <c r="AJ40" i="5" s="1"/>
  <c r="AI53" i="4"/>
  <c r="AK12" i="4"/>
  <c r="AJ17" i="4"/>
  <c r="AJ40" i="4" s="1"/>
  <c r="AJ22" i="4"/>
  <c r="AJ45" i="4" s="1"/>
  <c r="AJ58" i="4" s="1"/>
  <c r="AI23" i="4"/>
  <c r="AI46" i="4" s="1"/>
  <c r="AI59" i="4" s="1"/>
  <c r="AJ13" i="4"/>
  <c r="AF78" i="4" l="1"/>
  <c r="AG51" i="5"/>
  <c r="AG48" i="5"/>
  <c r="AG54" i="4"/>
  <c r="AG61" i="4" s="1"/>
  <c r="AG51" i="4"/>
  <c r="AG48" i="4"/>
  <c r="AI14" i="5"/>
  <c r="AH24" i="5"/>
  <c r="AH47" i="5" s="1"/>
  <c r="AI14" i="4"/>
  <c r="AH24" i="4"/>
  <c r="AH47" i="4" s="1"/>
  <c r="AH60" i="4" s="1"/>
  <c r="AH20" i="4"/>
  <c r="AH43" i="4" s="1"/>
  <c r="AH56" i="4" s="1"/>
  <c r="AH21" i="4"/>
  <c r="AH44" i="4" s="1"/>
  <c r="AH57" i="4" s="1"/>
  <c r="AH19" i="4"/>
  <c r="AH42" i="4" s="1"/>
  <c r="AH55" i="4" s="1"/>
  <c r="AH18" i="4"/>
  <c r="AH41" i="4" s="1"/>
  <c r="AI11" i="4"/>
  <c r="AK22" i="4"/>
  <c r="AK45" i="4" s="1"/>
  <c r="AK58" i="4" s="1"/>
  <c r="AL12" i="4"/>
  <c r="AK17" i="4"/>
  <c r="AK40" i="4" s="1"/>
  <c r="AJ23" i="4"/>
  <c r="AJ46" i="4" s="1"/>
  <c r="AJ59" i="4" s="1"/>
  <c r="AK13" i="4"/>
  <c r="AT75" i="4"/>
  <c r="AK11" i="5"/>
  <c r="AJ21" i="5"/>
  <c r="AJ44" i="5" s="1"/>
  <c r="AJ19" i="5"/>
  <c r="AJ42" i="5" s="1"/>
  <c r="AJ18" i="5"/>
  <c r="AJ41" i="5" s="1"/>
  <c r="AJ20" i="5"/>
  <c r="AJ43" i="5" s="1"/>
  <c r="AK22" i="5"/>
  <c r="AK45" i="5" s="1"/>
  <c r="AL12" i="5"/>
  <c r="AK17" i="5"/>
  <c r="AK40" i="5" s="1"/>
  <c r="AV64" i="4"/>
  <c r="AU69" i="4"/>
  <c r="AU67" i="4"/>
  <c r="AU74" i="4"/>
  <c r="AU73" i="4"/>
  <c r="AU68" i="4"/>
  <c r="AU65" i="4"/>
  <c r="AU72" i="4"/>
  <c r="AU71" i="4"/>
  <c r="AU70" i="4"/>
  <c r="AJ53" i="4"/>
  <c r="AJ23" i="5"/>
  <c r="AJ46" i="5" s="1"/>
  <c r="AK13" i="5"/>
  <c r="AG78" i="4" l="1"/>
  <c r="AH51" i="5"/>
  <c r="AH48" i="5"/>
  <c r="AH54" i="4"/>
  <c r="AH61" i="4" s="1"/>
  <c r="AH51" i="4"/>
  <c r="AH48" i="4"/>
  <c r="AI24" i="4"/>
  <c r="AI47" i="4" s="1"/>
  <c r="AI60" i="4" s="1"/>
  <c r="AJ14" i="4"/>
  <c r="AJ11" i="4"/>
  <c r="AI20" i="4"/>
  <c r="AI43" i="4" s="1"/>
  <c r="AI56" i="4" s="1"/>
  <c r="AI21" i="4"/>
  <c r="AI44" i="4" s="1"/>
  <c r="AI57" i="4" s="1"/>
  <c r="AI18" i="4"/>
  <c r="AI41" i="4" s="1"/>
  <c r="AI19" i="4"/>
  <c r="AI42" i="4" s="1"/>
  <c r="AI55" i="4" s="1"/>
  <c r="AJ14" i="5"/>
  <c r="AI24" i="5"/>
  <c r="AI47" i="5" s="1"/>
  <c r="AL13" i="5"/>
  <c r="AK23" i="5"/>
  <c r="AK46" i="5" s="1"/>
  <c r="AL17" i="5"/>
  <c r="AL40" i="5" s="1"/>
  <c r="AL22" i="5"/>
  <c r="AL45" i="5" s="1"/>
  <c r="AM12" i="5"/>
  <c r="AU75" i="4"/>
  <c r="AK53" i="4"/>
  <c r="AW64" i="4"/>
  <c r="AV69" i="4"/>
  <c r="AV73" i="4"/>
  <c r="AV67" i="4"/>
  <c r="AV68" i="4"/>
  <c r="AV74" i="4"/>
  <c r="AV71" i="4"/>
  <c r="AV72" i="4"/>
  <c r="AV70" i="4"/>
  <c r="AV65" i="4"/>
  <c r="AK23" i="4"/>
  <c r="AK46" i="4" s="1"/>
  <c r="AK59" i="4" s="1"/>
  <c r="AL13" i="4"/>
  <c r="AL22" i="4"/>
  <c r="AL45" i="4" s="1"/>
  <c r="AL58" i="4" s="1"/>
  <c r="AM12" i="4"/>
  <c r="AL17" i="4"/>
  <c r="AL40" i="4" s="1"/>
  <c r="AL11" i="5"/>
  <c r="AK21" i="5"/>
  <c r="AK44" i="5" s="1"/>
  <c r="AK20" i="5"/>
  <c r="AK43" i="5" s="1"/>
  <c r="AK18" i="5"/>
  <c r="AK41" i="5" s="1"/>
  <c r="AK19" i="5"/>
  <c r="AK42" i="5" s="1"/>
  <c r="AI48" i="5" l="1"/>
  <c r="AI51" i="5"/>
  <c r="AH78" i="4"/>
  <c r="AI54" i="4"/>
  <c r="AI61" i="4" s="1"/>
  <c r="AI51" i="4"/>
  <c r="AI48" i="4"/>
  <c r="AK14" i="5"/>
  <c r="AJ24" i="5"/>
  <c r="AJ47" i="5" s="1"/>
  <c r="AK11" i="4"/>
  <c r="AJ20" i="4"/>
  <c r="AJ43" i="4" s="1"/>
  <c r="AJ56" i="4" s="1"/>
  <c r="AJ19" i="4"/>
  <c r="AJ42" i="4" s="1"/>
  <c r="AJ55" i="4" s="1"/>
  <c r="AJ18" i="4"/>
  <c r="AJ41" i="4" s="1"/>
  <c r="AJ21" i="4"/>
  <c r="AJ44" i="4" s="1"/>
  <c r="AJ57" i="4" s="1"/>
  <c r="AJ24" i="4"/>
  <c r="AJ47" i="4" s="1"/>
  <c r="AJ60" i="4" s="1"/>
  <c r="AK14" i="4"/>
  <c r="AM13" i="5"/>
  <c r="AL23" i="5"/>
  <c r="AL46" i="5" s="1"/>
  <c r="AL53" i="4"/>
  <c r="AV75" i="4"/>
  <c r="AM17" i="4"/>
  <c r="AM40" i="4" s="1"/>
  <c r="AM22" i="4"/>
  <c r="AM45" i="4" s="1"/>
  <c r="AM58" i="4" s="1"/>
  <c r="AN12" i="4"/>
  <c r="AL23" i="4"/>
  <c r="AL46" i="4" s="1"/>
  <c r="AL59" i="4" s="1"/>
  <c r="AM13" i="4"/>
  <c r="AX64" i="4"/>
  <c r="AW67" i="4"/>
  <c r="AW68" i="4"/>
  <c r="AW69" i="4"/>
  <c r="AW74" i="4"/>
  <c r="AW73" i="4"/>
  <c r="AW65" i="4"/>
  <c r="AW71" i="4"/>
  <c r="AW72" i="4"/>
  <c r="AW70" i="4"/>
  <c r="AM22" i="5"/>
  <c r="AM45" i="5" s="1"/>
  <c r="AN12" i="5"/>
  <c r="AM17" i="5"/>
  <c r="AM40" i="5" s="1"/>
  <c r="AL21" i="5"/>
  <c r="AL44" i="5" s="1"/>
  <c r="AL20" i="5"/>
  <c r="AL43" i="5" s="1"/>
  <c r="AL19" i="5"/>
  <c r="AL42" i="5" s="1"/>
  <c r="AM11" i="5"/>
  <c r="AL18" i="5"/>
  <c r="AL41" i="5" s="1"/>
  <c r="AI78" i="4" l="1"/>
  <c r="AJ54" i="4"/>
  <c r="AJ61" i="4" s="1"/>
  <c r="AJ51" i="4"/>
  <c r="AJ48" i="4"/>
  <c r="AJ51" i="5"/>
  <c r="AJ48" i="5"/>
  <c r="AK21" i="4"/>
  <c r="AK44" i="4" s="1"/>
  <c r="AK57" i="4" s="1"/>
  <c r="AK19" i="4"/>
  <c r="AK42" i="4" s="1"/>
  <c r="AK55" i="4" s="1"/>
  <c r="AK18" i="4"/>
  <c r="AK41" i="4" s="1"/>
  <c r="AL11" i="4"/>
  <c r="AK20" i="4"/>
  <c r="AK43" i="4" s="1"/>
  <c r="AK56" i="4" s="1"/>
  <c r="AK24" i="4"/>
  <c r="AK47" i="4" s="1"/>
  <c r="AK60" i="4" s="1"/>
  <c r="AL14" i="4"/>
  <c r="AL14" i="5"/>
  <c r="AK24" i="5"/>
  <c r="AK47" i="5" s="1"/>
  <c r="AN17" i="5"/>
  <c r="AN40" i="5" s="1"/>
  <c r="AN22" i="5"/>
  <c r="AN45" i="5" s="1"/>
  <c r="AO12" i="5"/>
  <c r="AN13" i="5"/>
  <c r="AM23" i="5"/>
  <c r="AM46" i="5" s="1"/>
  <c r="AM53" i="4"/>
  <c r="AW75" i="4"/>
  <c r="AM20" i="5"/>
  <c r="AM43" i="5" s="1"/>
  <c r="AM19" i="5"/>
  <c r="AM42" i="5" s="1"/>
  <c r="AM18" i="5"/>
  <c r="AM41" i="5" s="1"/>
  <c r="AN11" i="5"/>
  <c r="AM21" i="5"/>
  <c r="AM44" i="5" s="1"/>
  <c r="AY64" i="4"/>
  <c r="AX74" i="4"/>
  <c r="AX68" i="4"/>
  <c r="AX69" i="4"/>
  <c r="AX67" i="4"/>
  <c r="AX73" i="4"/>
  <c r="AX70" i="4"/>
  <c r="AX71" i="4"/>
  <c r="AX65" i="4"/>
  <c r="AX72" i="4"/>
  <c r="AM23" i="4"/>
  <c r="AM46" i="4" s="1"/>
  <c r="AM59" i="4" s="1"/>
  <c r="AN13" i="4"/>
  <c r="AN22" i="4"/>
  <c r="AN45" i="4" s="1"/>
  <c r="AN58" i="4" s="1"/>
  <c r="AN17" i="4"/>
  <c r="AN40" i="4" s="1"/>
  <c r="AO12" i="4"/>
  <c r="AJ78" i="4" l="1"/>
  <c r="AK48" i="5"/>
  <c r="AK51" i="5"/>
  <c r="AK54" i="4"/>
  <c r="AK61" i="4" s="1"/>
  <c r="AK48" i="4"/>
  <c r="AK51" i="4"/>
  <c r="AM14" i="5"/>
  <c r="AL24" i="5"/>
  <c r="AL47" i="5" s="1"/>
  <c r="AL24" i="4"/>
  <c r="AL47" i="4" s="1"/>
  <c r="AL60" i="4" s="1"/>
  <c r="AM14" i="4"/>
  <c r="AL19" i="4"/>
  <c r="AL42" i="4" s="1"/>
  <c r="AL55" i="4" s="1"/>
  <c r="AM11" i="4"/>
  <c r="AL18" i="4"/>
  <c r="AL41" i="4" s="1"/>
  <c r="AL20" i="4"/>
  <c r="AL43" i="4" s="1"/>
  <c r="AL56" i="4" s="1"/>
  <c r="AL21" i="4"/>
  <c r="AL44" i="4" s="1"/>
  <c r="AL57" i="4" s="1"/>
  <c r="AN53" i="4"/>
  <c r="AZ64" i="4"/>
  <c r="AY68" i="4"/>
  <c r="AY74" i="4"/>
  <c r="AY69" i="4"/>
  <c r="AY67" i="4"/>
  <c r="AY73" i="4"/>
  <c r="AY71" i="4"/>
  <c r="AY70" i="4"/>
  <c r="AY65" i="4"/>
  <c r="AY72" i="4"/>
  <c r="AO13" i="5"/>
  <c r="AN23" i="5"/>
  <c r="AN46" i="5" s="1"/>
  <c r="AX75" i="4"/>
  <c r="AN19" i="5"/>
  <c r="AN42" i="5" s="1"/>
  <c r="AN18" i="5"/>
  <c r="AN41" i="5" s="1"/>
  <c r="AO11" i="5"/>
  <c r="AN21" i="5"/>
  <c r="AN44" i="5" s="1"/>
  <c r="AN20" i="5"/>
  <c r="AN43" i="5" s="1"/>
  <c r="AO17" i="5"/>
  <c r="AO40" i="5" s="1"/>
  <c r="AO22" i="5"/>
  <c r="AO45" i="5" s="1"/>
  <c r="AP12" i="5"/>
  <c r="AN23" i="4"/>
  <c r="AN46" i="4" s="1"/>
  <c r="AN59" i="4" s="1"/>
  <c r="AO13" i="4"/>
  <c r="AO17" i="4"/>
  <c r="AO40" i="4" s="1"/>
  <c r="AO22" i="4"/>
  <c r="AO45" i="4" s="1"/>
  <c r="AO58" i="4" s="1"/>
  <c r="AP12" i="4"/>
  <c r="AK78" i="4" l="1"/>
  <c r="AL48" i="5"/>
  <c r="AL51" i="5"/>
  <c r="AL54" i="4"/>
  <c r="AL61" i="4" s="1"/>
  <c r="AL48" i="4"/>
  <c r="AL51" i="4"/>
  <c r="AM18" i="4"/>
  <c r="AM41" i="4" s="1"/>
  <c r="AM20" i="4"/>
  <c r="AM43" i="4" s="1"/>
  <c r="AM56" i="4" s="1"/>
  <c r="AM21" i="4"/>
  <c r="AM44" i="4" s="1"/>
  <c r="AM57" i="4" s="1"/>
  <c r="AM19" i="4"/>
  <c r="AM42" i="4" s="1"/>
  <c r="AM55" i="4" s="1"/>
  <c r="AN11" i="4"/>
  <c r="AM24" i="4"/>
  <c r="AM47" i="4" s="1"/>
  <c r="AM60" i="4" s="1"/>
  <c r="AN14" i="4"/>
  <c r="AM24" i="5"/>
  <c r="AM47" i="5" s="1"/>
  <c r="AN14" i="5"/>
  <c r="BA64" i="4"/>
  <c r="AZ69" i="4"/>
  <c r="AZ67" i="4"/>
  <c r="AZ73" i="4"/>
  <c r="AZ68" i="4"/>
  <c r="AZ74" i="4"/>
  <c r="AZ71" i="4"/>
  <c r="AZ70" i="4"/>
  <c r="AZ65" i="4"/>
  <c r="AZ72" i="4"/>
  <c r="AP13" i="4"/>
  <c r="AO23" i="4"/>
  <c r="AO46" i="4" s="1"/>
  <c r="AO59" i="4" s="1"/>
  <c r="AP13" i="5"/>
  <c r="AO23" i="5"/>
  <c r="AO46" i="5" s="1"/>
  <c r="AO53" i="4"/>
  <c r="AO18" i="5"/>
  <c r="AO41" i="5" s="1"/>
  <c r="AO21" i="5"/>
  <c r="AO44" i="5" s="1"/>
  <c r="AO20" i="5"/>
  <c r="AO43" i="5" s="1"/>
  <c r="AO19" i="5"/>
  <c r="AO42" i="5" s="1"/>
  <c r="AP11" i="5"/>
  <c r="AY75" i="4"/>
  <c r="AP17" i="5"/>
  <c r="AP40" i="5" s="1"/>
  <c r="AP22" i="5"/>
  <c r="AP45" i="5" s="1"/>
  <c r="AQ12" i="5"/>
  <c r="AQ12" i="4"/>
  <c r="AP17" i="4"/>
  <c r="AP40" i="4" s="1"/>
  <c r="AP22" i="4"/>
  <c r="AP45" i="4" s="1"/>
  <c r="AP58" i="4" s="1"/>
  <c r="AL78" i="4" l="1"/>
  <c r="AM54" i="4"/>
  <c r="AM61" i="4" s="1"/>
  <c r="AM51" i="4"/>
  <c r="AM48" i="4"/>
  <c r="AM51" i="5"/>
  <c r="AM48" i="5"/>
  <c r="AO14" i="4"/>
  <c r="AN24" i="4"/>
  <c r="AN47" i="4" s="1"/>
  <c r="AN60" i="4" s="1"/>
  <c r="AN18" i="4"/>
  <c r="AN41" i="4" s="1"/>
  <c r="AN20" i="4"/>
  <c r="AN43" i="4" s="1"/>
  <c r="AN56" i="4" s="1"/>
  <c r="AN21" i="4"/>
  <c r="AN44" i="4" s="1"/>
  <c r="AN57" i="4" s="1"/>
  <c r="AN19" i="4"/>
  <c r="AN42" i="4" s="1"/>
  <c r="AN55" i="4" s="1"/>
  <c r="AO11" i="4"/>
  <c r="AO14" i="5"/>
  <c r="AN24" i="5"/>
  <c r="AN47" i="5" s="1"/>
  <c r="AP53" i="4"/>
  <c r="AR12" i="4"/>
  <c r="AQ17" i="4"/>
  <c r="AQ40" i="4" s="1"/>
  <c r="AQ22" i="4"/>
  <c r="AQ45" i="4" s="1"/>
  <c r="AQ58" i="4" s="1"/>
  <c r="AQ13" i="4"/>
  <c r="AP23" i="4"/>
  <c r="AP46" i="4" s="1"/>
  <c r="AP59" i="4" s="1"/>
  <c r="AR12" i="5"/>
  <c r="AQ22" i="5"/>
  <c r="AQ45" i="5" s="1"/>
  <c r="AQ17" i="5"/>
  <c r="AQ40" i="5" s="1"/>
  <c r="AZ75" i="4"/>
  <c r="AP21" i="5"/>
  <c r="AP44" i="5" s="1"/>
  <c r="AP20" i="5"/>
  <c r="AP43" i="5" s="1"/>
  <c r="AP19" i="5"/>
  <c r="AP42" i="5" s="1"/>
  <c r="AP18" i="5"/>
  <c r="AP41" i="5" s="1"/>
  <c r="AQ11" i="5"/>
  <c r="AQ13" i="5"/>
  <c r="AP23" i="5"/>
  <c r="AP46" i="5" s="1"/>
  <c r="BB64" i="4"/>
  <c r="BA73" i="4"/>
  <c r="BA69" i="4"/>
  <c r="BA67" i="4"/>
  <c r="BA68" i="4"/>
  <c r="BA74" i="4"/>
  <c r="BA70" i="4"/>
  <c r="BA72" i="4"/>
  <c r="BA65" i="4"/>
  <c r="BA71" i="4"/>
  <c r="AM78" i="4" l="1"/>
  <c r="AN48" i="5"/>
  <c r="AN51" i="5"/>
  <c r="AN54" i="4"/>
  <c r="AN61" i="4" s="1"/>
  <c r="AN51" i="4"/>
  <c r="AN48" i="4"/>
  <c r="AP14" i="5"/>
  <c r="AO24" i="5"/>
  <c r="AO47" i="5" s="1"/>
  <c r="AO19" i="4"/>
  <c r="AO42" i="4" s="1"/>
  <c r="AO55" i="4" s="1"/>
  <c r="AO21" i="4"/>
  <c r="AO44" i="4" s="1"/>
  <c r="AO57" i="4" s="1"/>
  <c r="AO20" i="4"/>
  <c r="AO43" i="4" s="1"/>
  <c r="AO56" i="4" s="1"/>
  <c r="AO18" i="4"/>
  <c r="AO41" i="4" s="1"/>
  <c r="AP11" i="4"/>
  <c r="AP14" i="4"/>
  <c r="AO24" i="4"/>
  <c r="AO47" i="4" s="1"/>
  <c r="AO60" i="4" s="1"/>
  <c r="AR13" i="5"/>
  <c r="AQ23" i="5"/>
  <c r="AQ46" i="5" s="1"/>
  <c r="BA75" i="4"/>
  <c r="AS12" i="5"/>
  <c r="AR22" i="5"/>
  <c r="AR45" i="5" s="1"/>
  <c r="AR17" i="5"/>
  <c r="AR40" i="5" s="1"/>
  <c r="AQ23" i="4"/>
  <c r="AQ46" i="4" s="1"/>
  <c r="AQ59" i="4" s="1"/>
  <c r="AR13" i="4"/>
  <c r="BC64" i="4"/>
  <c r="BB74" i="4"/>
  <c r="BB68" i="4"/>
  <c r="BB67" i="4"/>
  <c r="BB69" i="4"/>
  <c r="BB73" i="4"/>
  <c r="BB72" i="4"/>
  <c r="BB70" i="4"/>
  <c r="BB71" i="4"/>
  <c r="BB65" i="4"/>
  <c r="AQ21" i="5"/>
  <c r="AQ44" i="5" s="1"/>
  <c r="AQ20" i="5"/>
  <c r="AQ43" i="5" s="1"/>
  <c r="AQ19" i="5"/>
  <c r="AQ42" i="5" s="1"/>
  <c r="AQ18" i="5"/>
  <c r="AQ41" i="5" s="1"/>
  <c r="AR11" i="5"/>
  <c r="AQ53" i="4"/>
  <c r="AR17" i="4"/>
  <c r="AR40" i="4" s="1"/>
  <c r="AR22" i="4"/>
  <c r="AR45" i="4" s="1"/>
  <c r="AR58" i="4" s="1"/>
  <c r="AS12" i="4"/>
  <c r="AN78" i="4" l="1"/>
  <c r="AO54" i="4"/>
  <c r="AO61" i="4" s="1"/>
  <c r="AO51" i="4"/>
  <c r="AO48" i="4"/>
  <c r="AO78" i="4" s="1"/>
  <c r="AO51" i="5"/>
  <c r="AO48" i="5"/>
  <c r="AP19" i="4"/>
  <c r="AP42" i="4" s="1"/>
  <c r="AP55" i="4" s="1"/>
  <c r="AQ11" i="4"/>
  <c r="AP20" i="4"/>
  <c r="AP43" i="4" s="1"/>
  <c r="AP56" i="4" s="1"/>
  <c r="AP21" i="4"/>
  <c r="AP44" i="4" s="1"/>
  <c r="AP57" i="4" s="1"/>
  <c r="AP18" i="4"/>
  <c r="AP41" i="4" s="1"/>
  <c r="AP24" i="4"/>
  <c r="AP47" i="4" s="1"/>
  <c r="AP60" i="4" s="1"/>
  <c r="AQ14" i="4"/>
  <c r="AQ14" i="5"/>
  <c r="AP24" i="5"/>
  <c r="AP47" i="5" s="1"/>
  <c r="AT12" i="4"/>
  <c r="AS22" i="4"/>
  <c r="AS45" i="4" s="1"/>
  <c r="AS58" i="4" s="1"/>
  <c r="AS17" i="4"/>
  <c r="AS40" i="4" s="1"/>
  <c r="AS11" i="5"/>
  <c r="AR21" i="5"/>
  <c r="AR44" i="5" s="1"/>
  <c r="AR20" i="5"/>
  <c r="AR43" i="5" s="1"/>
  <c r="AR19" i="5"/>
  <c r="AR42" i="5" s="1"/>
  <c r="AR18" i="5"/>
  <c r="AR41" i="5" s="1"/>
  <c r="BD64" i="4"/>
  <c r="BC69" i="4"/>
  <c r="BC68" i="4"/>
  <c r="BC74" i="4"/>
  <c r="BC67" i="4"/>
  <c r="BC73" i="4"/>
  <c r="BC70" i="4"/>
  <c r="BC72" i="4"/>
  <c r="BC65" i="4"/>
  <c r="BC71" i="4"/>
  <c r="AS22" i="5"/>
  <c r="AS45" i="5" s="1"/>
  <c r="AT12" i="5"/>
  <c r="AS17" i="5"/>
  <c r="AS40" i="5" s="1"/>
  <c r="AS13" i="4"/>
  <c r="AR23" i="4"/>
  <c r="AR46" i="4" s="1"/>
  <c r="AR59" i="4" s="1"/>
  <c r="AR53" i="4"/>
  <c r="AR23" i="5"/>
  <c r="AR46" i="5" s="1"/>
  <c r="AS13" i="5"/>
  <c r="BB75" i="4"/>
  <c r="AP51" i="5" l="1"/>
  <c r="AP48" i="5"/>
  <c r="AP54" i="4"/>
  <c r="AP61" i="4" s="1"/>
  <c r="AP51" i="4"/>
  <c r="AP48" i="4"/>
  <c r="AQ24" i="5"/>
  <c r="AQ47" i="5" s="1"/>
  <c r="AQ48" i="5" s="1"/>
  <c r="AR14" i="5"/>
  <c r="AQ24" i="4"/>
  <c r="AQ47" i="4" s="1"/>
  <c r="AQ60" i="4" s="1"/>
  <c r="AR14" i="4"/>
  <c r="AQ21" i="4"/>
  <c r="AQ44" i="4" s="1"/>
  <c r="AQ57" i="4" s="1"/>
  <c r="AQ18" i="4"/>
  <c r="AQ41" i="4" s="1"/>
  <c r="AQ19" i="4"/>
  <c r="AQ42" i="4" s="1"/>
  <c r="AQ55" i="4" s="1"/>
  <c r="AR11" i="4"/>
  <c r="AQ20" i="4"/>
  <c r="AQ43" i="4" s="1"/>
  <c r="AQ56" i="4" s="1"/>
  <c r="BE64" i="4"/>
  <c r="BD69" i="4"/>
  <c r="BD73" i="4"/>
  <c r="BD68" i="4"/>
  <c r="BD67" i="4"/>
  <c r="BD74" i="4"/>
  <c r="BD70" i="4"/>
  <c r="BD65" i="4"/>
  <c r="BD71" i="4"/>
  <c r="BD72" i="4"/>
  <c r="AS23" i="4"/>
  <c r="AS46" i="4" s="1"/>
  <c r="AS59" i="4" s="1"/>
  <c r="AT13" i="4"/>
  <c r="AT22" i="4"/>
  <c r="AT45" i="4" s="1"/>
  <c r="AT58" i="4" s="1"/>
  <c r="AU12" i="4"/>
  <c r="AT17" i="4"/>
  <c r="AT40" i="4" s="1"/>
  <c r="BC75" i="4"/>
  <c r="AS23" i="5"/>
  <c r="AS46" i="5" s="1"/>
  <c r="AT13" i="5"/>
  <c r="AT22" i="5"/>
  <c r="AT45" i="5" s="1"/>
  <c r="AU12" i="5"/>
  <c r="AT17" i="5"/>
  <c r="AT40" i="5" s="1"/>
  <c r="AT11" i="5"/>
  <c r="AS21" i="5"/>
  <c r="AS44" i="5" s="1"/>
  <c r="AS20" i="5"/>
  <c r="AS43" i="5" s="1"/>
  <c r="AS19" i="5"/>
  <c r="AS42" i="5" s="1"/>
  <c r="AS18" i="5"/>
  <c r="AS41" i="5" s="1"/>
  <c r="AS53" i="4"/>
  <c r="AP78" i="4" l="1"/>
  <c r="AQ48" i="4"/>
  <c r="AR18" i="4"/>
  <c r="AR41" i="4" s="1"/>
  <c r="AS11" i="4"/>
  <c r="AR20" i="4"/>
  <c r="AR43" i="4" s="1"/>
  <c r="AR56" i="4" s="1"/>
  <c r="AR19" i="4"/>
  <c r="AR42" i="4" s="1"/>
  <c r="AR55" i="4" s="1"/>
  <c r="AR21" i="4"/>
  <c r="AR44" i="4" s="1"/>
  <c r="AR57" i="4" s="1"/>
  <c r="AQ54" i="4"/>
  <c r="AQ61" i="4" s="1"/>
  <c r="AQ51" i="4"/>
  <c r="AS14" i="4"/>
  <c r="AR24" i="4"/>
  <c r="AR47" i="4" s="1"/>
  <c r="AR60" i="4" s="1"/>
  <c r="AR24" i="5"/>
  <c r="AR47" i="5" s="1"/>
  <c r="AR48" i="5" s="1"/>
  <c r="AS14" i="5"/>
  <c r="AQ51" i="5"/>
  <c r="AT23" i="4"/>
  <c r="AT46" i="4" s="1"/>
  <c r="AT59" i="4" s="1"/>
  <c r="AU13" i="4"/>
  <c r="BD75" i="4"/>
  <c r="AT23" i="5"/>
  <c r="AT46" i="5" s="1"/>
  <c r="AU13" i="5"/>
  <c r="AT21" i="5"/>
  <c r="AT44" i="5" s="1"/>
  <c r="AT20" i="5"/>
  <c r="AT43" i="5" s="1"/>
  <c r="AT19" i="5"/>
  <c r="AT42" i="5" s="1"/>
  <c r="AT18" i="5"/>
  <c r="AT41" i="5" s="1"/>
  <c r="AU11" i="5"/>
  <c r="AT53" i="4"/>
  <c r="AU22" i="5"/>
  <c r="AU45" i="5" s="1"/>
  <c r="AV12" i="5"/>
  <c r="AU17" i="5"/>
  <c r="AU40" i="5" s="1"/>
  <c r="AU22" i="4"/>
  <c r="AU45" i="4" s="1"/>
  <c r="AU58" i="4" s="1"/>
  <c r="AV12" i="4"/>
  <c r="AU17" i="4"/>
  <c r="AU40" i="4" s="1"/>
  <c r="BF64" i="4"/>
  <c r="BE68" i="4"/>
  <c r="BE67" i="4"/>
  <c r="BE74" i="4"/>
  <c r="BE73" i="4"/>
  <c r="BE69" i="4"/>
  <c r="BE65" i="4"/>
  <c r="BE71" i="4"/>
  <c r="BE70" i="4"/>
  <c r="BE72" i="4"/>
  <c r="AQ78" i="4" l="1"/>
  <c r="AR48" i="4"/>
  <c r="AS24" i="4"/>
  <c r="AS47" i="4" s="1"/>
  <c r="AS60" i="4" s="1"/>
  <c r="AT14" i="4"/>
  <c r="AT14" i="5"/>
  <c r="AS24" i="5"/>
  <c r="AS47" i="5" s="1"/>
  <c r="AS48" i="5" s="1"/>
  <c r="AR51" i="5"/>
  <c r="AS20" i="4"/>
  <c r="AS43" i="4" s="1"/>
  <c r="AS56" i="4" s="1"/>
  <c r="AS19" i="4"/>
  <c r="AS42" i="4" s="1"/>
  <c r="AS55" i="4" s="1"/>
  <c r="AS21" i="4"/>
  <c r="AS44" i="4" s="1"/>
  <c r="AS57" i="4" s="1"/>
  <c r="AT11" i="4"/>
  <c r="AS18" i="4"/>
  <c r="AS41" i="4" s="1"/>
  <c r="AR54" i="4"/>
  <c r="AR61" i="4" s="1"/>
  <c r="AR51" i="4"/>
  <c r="AU20" i="5"/>
  <c r="AU43" i="5" s="1"/>
  <c r="AU19" i="5"/>
  <c r="AU42" i="5" s="1"/>
  <c r="AU18" i="5"/>
  <c r="AU41" i="5" s="1"/>
  <c r="AU21" i="5"/>
  <c r="AU44" i="5" s="1"/>
  <c r="AV11" i="5"/>
  <c r="BE75" i="4"/>
  <c r="AV13" i="5"/>
  <c r="AU23" i="5"/>
  <c r="AU46" i="5" s="1"/>
  <c r="AU23" i="4"/>
  <c r="AU46" i="4" s="1"/>
  <c r="AU59" i="4" s="1"/>
  <c r="AV13" i="4"/>
  <c r="AV22" i="4"/>
  <c r="AV45" i="4" s="1"/>
  <c r="AV58" i="4" s="1"/>
  <c r="AV17" i="4"/>
  <c r="AV40" i="4" s="1"/>
  <c r="AW12" i="4"/>
  <c r="AV17" i="5"/>
  <c r="AV40" i="5" s="1"/>
  <c r="AV22" i="5"/>
  <c r="AV45" i="5" s="1"/>
  <c r="AW12" i="5"/>
  <c r="BG64" i="4"/>
  <c r="BF68" i="4"/>
  <c r="BF74" i="4"/>
  <c r="BF67" i="4"/>
  <c r="BF73" i="4"/>
  <c r="BF69" i="4"/>
  <c r="BF65" i="4"/>
  <c r="BF71" i="4"/>
  <c r="BF72" i="4"/>
  <c r="BF70" i="4"/>
  <c r="AU53" i="4"/>
  <c r="AS48" i="4" l="1"/>
  <c r="AR78" i="4"/>
  <c r="AS54" i="4"/>
  <c r="AS61" i="4" s="1"/>
  <c r="AS78" i="4" s="1"/>
  <c r="AS51" i="4"/>
  <c r="AU14" i="5"/>
  <c r="AT24" i="5"/>
  <c r="AT47" i="5" s="1"/>
  <c r="AT48" i="5" s="1"/>
  <c r="AS51" i="5"/>
  <c r="AT19" i="4"/>
  <c r="AT42" i="4" s="1"/>
  <c r="AT55" i="4" s="1"/>
  <c r="AT21" i="4"/>
  <c r="AT44" i="4" s="1"/>
  <c r="AT57" i="4" s="1"/>
  <c r="AU11" i="4"/>
  <c r="AT18" i="4"/>
  <c r="AT41" i="4" s="1"/>
  <c r="AT20" i="4"/>
  <c r="AT43" i="4" s="1"/>
  <c r="AT56" i="4" s="1"/>
  <c r="AT24" i="4"/>
  <c r="AT47" i="4" s="1"/>
  <c r="AT60" i="4" s="1"/>
  <c r="AU14" i="4"/>
  <c r="BH64" i="4"/>
  <c r="BG68" i="4"/>
  <c r="BG73" i="4"/>
  <c r="BG74" i="4"/>
  <c r="BG69" i="4"/>
  <c r="BG67" i="4"/>
  <c r="BG70" i="4"/>
  <c r="BG65" i="4"/>
  <c r="BG71" i="4"/>
  <c r="BG72" i="4"/>
  <c r="AV19" i="5"/>
  <c r="AV42" i="5" s="1"/>
  <c r="AV18" i="5"/>
  <c r="AV41" i="5" s="1"/>
  <c r="AV21" i="5"/>
  <c r="AV44" i="5" s="1"/>
  <c r="AV20" i="5"/>
  <c r="AV43" i="5" s="1"/>
  <c r="AW11" i="5"/>
  <c r="AW13" i="5"/>
  <c r="AV23" i="5"/>
  <c r="AV46" i="5" s="1"/>
  <c r="AV53" i="4"/>
  <c r="BF75" i="4"/>
  <c r="AW17" i="4"/>
  <c r="AW40" i="4" s="1"/>
  <c r="AX12" i="4"/>
  <c r="AW22" i="4"/>
  <c r="AW45" i="4" s="1"/>
  <c r="AW58" i="4" s="1"/>
  <c r="AW17" i="5"/>
  <c r="AW40" i="5" s="1"/>
  <c r="AW22" i="5"/>
  <c r="AW45" i="5" s="1"/>
  <c r="AX12" i="5"/>
  <c r="AV23" i="4"/>
  <c r="AV46" i="4" s="1"/>
  <c r="AV59" i="4" s="1"/>
  <c r="AW13" i="4"/>
  <c r="AT48" i="4" l="1"/>
  <c r="AV14" i="5"/>
  <c r="AU24" i="5"/>
  <c r="AU47" i="5" s="1"/>
  <c r="AU48" i="5" s="1"/>
  <c r="AV14" i="4"/>
  <c r="AU24" i="4"/>
  <c r="AU47" i="4" s="1"/>
  <c r="AU60" i="4" s="1"/>
  <c r="AT51" i="5"/>
  <c r="AT54" i="4"/>
  <c r="AT61" i="4" s="1"/>
  <c r="AT51" i="4"/>
  <c r="AU19" i="4"/>
  <c r="AU42" i="4" s="1"/>
  <c r="AU55" i="4" s="1"/>
  <c r="AU20" i="4"/>
  <c r="AU43" i="4" s="1"/>
  <c r="AU56" i="4" s="1"/>
  <c r="AU21" i="4"/>
  <c r="AU44" i="4" s="1"/>
  <c r="AU57" i="4" s="1"/>
  <c r="AU18" i="4"/>
  <c r="AU41" i="4" s="1"/>
  <c r="AV11" i="4"/>
  <c r="AX13" i="5"/>
  <c r="AW23" i="5"/>
  <c r="AW46" i="5" s="1"/>
  <c r="AW53" i="4"/>
  <c r="BG75" i="4"/>
  <c r="AX13" i="4"/>
  <c r="AW23" i="4"/>
  <c r="AW46" i="4" s="1"/>
  <c r="AW59" i="4" s="1"/>
  <c r="AY12" i="4"/>
  <c r="AX22" i="4"/>
  <c r="AX45" i="4" s="1"/>
  <c r="AX58" i="4" s="1"/>
  <c r="AX17" i="4"/>
  <c r="AX40" i="4" s="1"/>
  <c r="BI64" i="4"/>
  <c r="BH69" i="4"/>
  <c r="BH67" i="4"/>
  <c r="BH68" i="4"/>
  <c r="BH73" i="4"/>
  <c r="BH74" i="4"/>
  <c r="BH70" i="4"/>
  <c r="BH72" i="4"/>
  <c r="BH65" i="4"/>
  <c r="BH71" i="4"/>
  <c r="AW18" i="5"/>
  <c r="AW41" i="5" s="1"/>
  <c r="AW20" i="5"/>
  <c r="AW43" i="5" s="1"/>
  <c r="AW19" i="5"/>
  <c r="AW42" i="5" s="1"/>
  <c r="AX11" i="5"/>
  <c r="AW21" i="5"/>
  <c r="AW44" i="5" s="1"/>
  <c r="AX17" i="5"/>
  <c r="AX40" i="5" s="1"/>
  <c r="AX22" i="5"/>
  <c r="AX45" i="5" s="1"/>
  <c r="AY12" i="5"/>
  <c r="AU48" i="4" l="1"/>
  <c r="AT78" i="4"/>
  <c r="AU54" i="4"/>
  <c r="AU61" i="4" s="1"/>
  <c r="AU51" i="4"/>
  <c r="AV20" i="4"/>
  <c r="AV43" i="4" s="1"/>
  <c r="AV56" i="4" s="1"/>
  <c r="AV19" i="4"/>
  <c r="AV42" i="4" s="1"/>
  <c r="AV55" i="4" s="1"/>
  <c r="AW11" i="4"/>
  <c r="AV21" i="4"/>
  <c r="AV44" i="4" s="1"/>
  <c r="AV57" i="4" s="1"/>
  <c r="AV18" i="4"/>
  <c r="AV41" i="4" s="1"/>
  <c r="AW14" i="4"/>
  <c r="AV24" i="4"/>
  <c r="AV47" i="4" s="1"/>
  <c r="AV60" i="4" s="1"/>
  <c r="AU51" i="5"/>
  <c r="AW14" i="5"/>
  <c r="AV24" i="5"/>
  <c r="AV47" i="5" s="1"/>
  <c r="AV48" i="5" s="1"/>
  <c r="AX19" i="5"/>
  <c r="AX42" i="5" s="1"/>
  <c r="AY11" i="5"/>
  <c r="AX18" i="5"/>
  <c r="AX41" i="5" s="1"/>
  <c r="AX21" i="5"/>
  <c r="AX44" i="5" s="1"/>
  <c r="AX20" i="5"/>
  <c r="AX43" i="5" s="1"/>
  <c r="AY13" i="4"/>
  <c r="AX23" i="4"/>
  <c r="AX46" i="4" s="1"/>
  <c r="AX59" i="4" s="1"/>
  <c r="AY13" i="5"/>
  <c r="AX23" i="5"/>
  <c r="AX46" i="5" s="1"/>
  <c r="AX53" i="4"/>
  <c r="AZ12" i="5"/>
  <c r="AY22" i="5"/>
  <c r="AY45" i="5" s="1"/>
  <c r="AY17" i="5"/>
  <c r="AY40" i="5" s="1"/>
  <c r="AZ12" i="4"/>
  <c r="AY17" i="4"/>
  <c r="AY40" i="4" s="1"/>
  <c r="AY22" i="4"/>
  <c r="AY45" i="4" s="1"/>
  <c r="AY58" i="4" s="1"/>
  <c r="BH75" i="4"/>
  <c r="BJ64" i="4"/>
  <c r="BI69" i="4"/>
  <c r="BI67" i="4"/>
  <c r="BI73" i="4"/>
  <c r="BI74" i="4"/>
  <c r="BI68" i="4"/>
  <c r="BI70" i="4"/>
  <c r="BI72" i="4"/>
  <c r="BI71" i="4"/>
  <c r="BI65" i="4"/>
  <c r="AU78" i="4" l="1"/>
  <c r="AV48" i="4"/>
  <c r="AW24" i="4"/>
  <c r="AW47" i="4" s="1"/>
  <c r="AW60" i="4" s="1"/>
  <c r="AX14" i="4"/>
  <c r="AW24" i="5"/>
  <c r="AW47" i="5" s="1"/>
  <c r="AW48" i="5" s="1"/>
  <c r="AX14" i="5"/>
  <c r="AV51" i="5"/>
  <c r="AX11" i="4"/>
  <c r="AW19" i="4"/>
  <c r="AW42" i="4" s="1"/>
  <c r="AW55" i="4" s="1"/>
  <c r="AW18" i="4"/>
  <c r="AW41" i="4" s="1"/>
  <c r="AW21" i="4"/>
  <c r="AW44" i="4" s="1"/>
  <c r="AW57" i="4" s="1"/>
  <c r="AW20" i="4"/>
  <c r="AW43" i="4" s="1"/>
  <c r="AW56" i="4" s="1"/>
  <c r="AV54" i="4"/>
  <c r="AV61" i="4" s="1"/>
  <c r="AV51" i="4"/>
  <c r="AZ17" i="4"/>
  <c r="AZ40" i="4" s="1"/>
  <c r="AZ22" i="4"/>
  <c r="AZ45" i="4" s="1"/>
  <c r="AZ58" i="4" s="1"/>
  <c r="BA12" i="4"/>
  <c r="AZ13" i="5"/>
  <c r="AY23" i="5"/>
  <c r="AY46" i="5" s="1"/>
  <c r="BA12" i="5"/>
  <c r="AZ22" i="5"/>
  <c r="AZ45" i="5" s="1"/>
  <c r="AZ17" i="5"/>
  <c r="AZ40" i="5" s="1"/>
  <c r="AY23" i="4"/>
  <c r="AY46" i="4" s="1"/>
  <c r="AY59" i="4" s="1"/>
  <c r="AZ13" i="4"/>
  <c r="BI75" i="4"/>
  <c r="BK64" i="4"/>
  <c r="BJ74" i="4"/>
  <c r="BJ68" i="4"/>
  <c r="BJ69" i="4"/>
  <c r="BJ73" i="4"/>
  <c r="BJ67" i="4"/>
  <c r="BJ72" i="4"/>
  <c r="BJ71" i="4"/>
  <c r="BJ70" i="4"/>
  <c r="BJ65" i="4"/>
  <c r="AY18" i="5"/>
  <c r="AY41" i="5" s="1"/>
  <c r="AY21" i="5"/>
  <c r="AY44" i="5" s="1"/>
  <c r="AY20" i="5"/>
  <c r="AY43" i="5" s="1"/>
  <c r="AY19" i="5"/>
  <c r="AY42" i="5" s="1"/>
  <c r="AZ11" i="5"/>
  <c r="AY53" i="4"/>
  <c r="AW48" i="4" l="1"/>
  <c r="AV78" i="4"/>
  <c r="AX24" i="5"/>
  <c r="AX47" i="5" s="1"/>
  <c r="AX48" i="5" s="1"/>
  <c r="AY14" i="5"/>
  <c r="AW51" i="5"/>
  <c r="AX24" i="4"/>
  <c r="AX47" i="4" s="1"/>
  <c r="AX60" i="4" s="1"/>
  <c r="AY14" i="4"/>
  <c r="AX20" i="4"/>
  <c r="AX43" i="4" s="1"/>
  <c r="AX56" i="4" s="1"/>
  <c r="AX19" i="4"/>
  <c r="AX42" i="4" s="1"/>
  <c r="AX55" i="4" s="1"/>
  <c r="AY11" i="4"/>
  <c r="AX18" i="4"/>
  <c r="AX41" i="4" s="1"/>
  <c r="AX21" i="4"/>
  <c r="AX44" i="4" s="1"/>
  <c r="AX57" i="4" s="1"/>
  <c r="AW54" i="4"/>
  <c r="AW61" i="4" s="1"/>
  <c r="AW51" i="4"/>
  <c r="BL64" i="4"/>
  <c r="BK73" i="4"/>
  <c r="BK67" i="4"/>
  <c r="BK69" i="4"/>
  <c r="BK68" i="4"/>
  <c r="BK74" i="4"/>
  <c r="BK72" i="4"/>
  <c r="BK70" i="4"/>
  <c r="BK65" i="4"/>
  <c r="BK71" i="4"/>
  <c r="BA11" i="5"/>
  <c r="AZ21" i="5"/>
  <c r="AZ44" i="5" s="1"/>
  <c r="AZ20" i="5"/>
  <c r="AZ43" i="5" s="1"/>
  <c r="AZ19" i="5"/>
  <c r="AZ42" i="5" s="1"/>
  <c r="AZ18" i="5"/>
  <c r="AZ41" i="5" s="1"/>
  <c r="BA13" i="4"/>
  <c r="AZ23" i="4"/>
  <c r="AZ46" i="4" s="1"/>
  <c r="AZ59" i="4" s="1"/>
  <c r="BA22" i="5"/>
  <c r="BA45" i="5" s="1"/>
  <c r="BB12" i="5"/>
  <c r="BA17" i="5"/>
  <c r="BA40" i="5" s="1"/>
  <c r="BJ75" i="4"/>
  <c r="AZ23" i="5"/>
  <c r="AZ46" i="5" s="1"/>
  <c r="BA13" i="5"/>
  <c r="BB12" i="4"/>
  <c r="BA17" i="4"/>
  <c r="BA40" i="4" s="1"/>
  <c r="BA22" i="4"/>
  <c r="BA45" i="4" s="1"/>
  <c r="BA58" i="4" s="1"/>
  <c r="AZ53" i="4"/>
  <c r="AX48" i="4" l="1"/>
  <c r="AW78" i="4"/>
  <c r="AX54" i="4"/>
  <c r="AX61" i="4" s="1"/>
  <c r="AX51" i="4"/>
  <c r="AZ14" i="5"/>
  <c r="AY24" i="5"/>
  <c r="AY47" i="5" s="1"/>
  <c r="AY48" i="5" s="1"/>
  <c r="AZ14" i="4"/>
  <c r="AY24" i="4"/>
  <c r="AY47" i="4" s="1"/>
  <c r="AY60" i="4" s="1"/>
  <c r="AZ11" i="4"/>
  <c r="AY21" i="4"/>
  <c r="AY44" i="4" s="1"/>
  <c r="AY57" i="4" s="1"/>
  <c r="AY20" i="4"/>
  <c r="AY43" i="4" s="1"/>
  <c r="AY56" i="4" s="1"/>
  <c r="AY19" i="4"/>
  <c r="AY42" i="4" s="1"/>
  <c r="AY55" i="4" s="1"/>
  <c r="AY18" i="4"/>
  <c r="AY41" i="4" s="1"/>
  <c r="AX51" i="5"/>
  <c r="BB13" i="5"/>
  <c r="BA23" i="5"/>
  <c r="BA46" i="5" s="1"/>
  <c r="BA23" i="4"/>
  <c r="BA46" i="4" s="1"/>
  <c r="BA59" i="4" s="1"/>
  <c r="BB13" i="4"/>
  <c r="BB11" i="5"/>
  <c r="BA21" i="5"/>
  <c r="BA44" i="5" s="1"/>
  <c r="BA20" i="5"/>
  <c r="BA43" i="5" s="1"/>
  <c r="BA19" i="5"/>
  <c r="BA42" i="5" s="1"/>
  <c r="BA18" i="5"/>
  <c r="BA41" i="5" s="1"/>
  <c r="BK75" i="4"/>
  <c r="BA53" i="4"/>
  <c r="BB17" i="4"/>
  <c r="BB40" i="4" s="1"/>
  <c r="BB22" i="4"/>
  <c r="BB45" i="4" s="1"/>
  <c r="BB58" i="4" s="1"/>
  <c r="BC12" i="4"/>
  <c r="BC12" i="5"/>
  <c r="BB22" i="5"/>
  <c r="BB45" i="5" s="1"/>
  <c r="BB17" i="5"/>
  <c r="BB40" i="5" s="1"/>
  <c r="BM64" i="4"/>
  <c r="BL67" i="4"/>
  <c r="BL74" i="4"/>
  <c r="BL69" i="4"/>
  <c r="BL73" i="4"/>
  <c r="BL68" i="4"/>
  <c r="BL71" i="4"/>
  <c r="BL72" i="4"/>
  <c r="BL70" i="4"/>
  <c r="BL65" i="4"/>
  <c r="AY48" i="4" l="1"/>
  <c r="AX78" i="4"/>
  <c r="AZ20" i="4"/>
  <c r="AZ43" i="4" s="1"/>
  <c r="AZ56" i="4" s="1"/>
  <c r="AZ19" i="4"/>
  <c r="AZ42" i="4" s="1"/>
  <c r="AZ55" i="4" s="1"/>
  <c r="AZ18" i="4"/>
  <c r="AZ41" i="4" s="1"/>
  <c r="AZ21" i="4"/>
  <c r="AZ44" i="4" s="1"/>
  <c r="AZ57" i="4" s="1"/>
  <c r="BA11" i="4"/>
  <c r="BA14" i="4"/>
  <c r="AZ24" i="4"/>
  <c r="AZ47" i="4" s="1"/>
  <c r="AZ60" i="4" s="1"/>
  <c r="AZ24" i="5"/>
  <c r="AZ47" i="5" s="1"/>
  <c r="AZ48" i="5" s="1"/>
  <c r="BA14" i="5"/>
  <c r="AY54" i="4"/>
  <c r="AY61" i="4" s="1"/>
  <c r="AY51" i="4"/>
  <c r="AY51" i="5"/>
  <c r="BB21" i="5"/>
  <c r="BB44" i="5" s="1"/>
  <c r="BB20" i="5"/>
  <c r="BB43" i="5" s="1"/>
  <c r="BB19" i="5"/>
  <c r="BB42" i="5" s="1"/>
  <c r="BB18" i="5"/>
  <c r="BB41" i="5" s="1"/>
  <c r="BC11" i="5"/>
  <c r="BN64" i="4"/>
  <c r="BM67" i="4"/>
  <c r="BM68" i="4"/>
  <c r="BM74" i="4"/>
  <c r="BM69" i="4"/>
  <c r="BM73" i="4"/>
  <c r="BM71" i="4"/>
  <c r="BM70" i="4"/>
  <c r="BM72" i="4"/>
  <c r="BM65" i="4"/>
  <c r="BD12" i="5"/>
  <c r="BC22" i="5"/>
  <c r="BC45" i="5" s="1"/>
  <c r="BC17" i="5"/>
  <c r="BC40" i="5" s="1"/>
  <c r="BC22" i="4"/>
  <c r="BC45" i="4" s="1"/>
  <c r="BC58" i="4" s="1"/>
  <c r="BC17" i="4"/>
  <c r="BC40" i="4" s="1"/>
  <c r="BD12" i="4"/>
  <c r="BB53" i="4"/>
  <c r="BL75" i="4"/>
  <c r="BB23" i="4"/>
  <c r="BB46" i="4" s="1"/>
  <c r="BB59" i="4" s="1"/>
  <c r="BC13" i="4"/>
  <c r="BC13" i="5"/>
  <c r="BB23" i="5"/>
  <c r="BB46" i="5" s="1"/>
  <c r="AY78" i="4" l="1"/>
  <c r="AZ48" i="4"/>
  <c r="BA20" i="4"/>
  <c r="BA43" i="4" s="1"/>
  <c r="BA56" i="4" s="1"/>
  <c r="BA19" i="4"/>
  <c r="BA42" i="4" s="1"/>
  <c r="BA55" i="4" s="1"/>
  <c r="BA18" i="4"/>
  <c r="BA41" i="4" s="1"/>
  <c r="BA21" i="4"/>
  <c r="BA44" i="4" s="1"/>
  <c r="BA57" i="4" s="1"/>
  <c r="BB11" i="4"/>
  <c r="AZ54" i="4"/>
  <c r="AZ61" i="4" s="1"/>
  <c r="AZ51" i="4"/>
  <c r="AZ51" i="5"/>
  <c r="BA24" i="4"/>
  <c r="BA47" i="4" s="1"/>
  <c r="BA60" i="4" s="1"/>
  <c r="BB14" i="4"/>
  <c r="BA24" i="5"/>
  <c r="BA47" i="5" s="1"/>
  <c r="BA48" i="5" s="1"/>
  <c r="BB14" i="5"/>
  <c r="BM75" i="4"/>
  <c r="BD22" i="4"/>
  <c r="BD45" i="4" s="1"/>
  <c r="BD58" i="4" s="1"/>
  <c r="BD17" i="4"/>
  <c r="BD40" i="4" s="1"/>
  <c r="BE12" i="4"/>
  <c r="BC53" i="4"/>
  <c r="BC20" i="5"/>
  <c r="BC43" i="5" s="1"/>
  <c r="BC19" i="5"/>
  <c r="BC42" i="5" s="1"/>
  <c r="BC18" i="5"/>
  <c r="BC41" i="5" s="1"/>
  <c r="BC21" i="5"/>
  <c r="BC44" i="5" s="1"/>
  <c r="BD11" i="5"/>
  <c r="BC23" i="5"/>
  <c r="BC46" i="5" s="1"/>
  <c r="BD13" i="5"/>
  <c r="BO64" i="4"/>
  <c r="BN73" i="4"/>
  <c r="BN67" i="4"/>
  <c r="BN68" i="4"/>
  <c r="BN69" i="4"/>
  <c r="BN74" i="4"/>
  <c r="BN65" i="4"/>
  <c r="BN72" i="4"/>
  <c r="BN71" i="4"/>
  <c r="BN70" i="4"/>
  <c r="BD17" i="5"/>
  <c r="BD40" i="5" s="1"/>
  <c r="BE12" i="5"/>
  <c r="BD22" i="5"/>
  <c r="BD45" i="5" s="1"/>
  <c r="BC23" i="4"/>
  <c r="BC46" i="4" s="1"/>
  <c r="BC59" i="4" s="1"/>
  <c r="BD13" i="4"/>
  <c r="BA48" i="4" l="1"/>
  <c r="AZ78" i="4"/>
  <c r="BB19" i="4"/>
  <c r="BB42" i="4" s="1"/>
  <c r="BB55" i="4" s="1"/>
  <c r="BC11" i="4"/>
  <c r="BB18" i="4"/>
  <c r="BB41" i="4" s="1"/>
  <c r="BB20" i="4"/>
  <c r="BB43" i="4" s="1"/>
  <c r="BB56" i="4" s="1"/>
  <c r="BB21" i="4"/>
  <c r="BB44" i="4" s="1"/>
  <c r="BB57" i="4" s="1"/>
  <c r="BB24" i="4"/>
  <c r="BB47" i="4" s="1"/>
  <c r="BB60" i="4" s="1"/>
  <c r="BC14" i="4"/>
  <c r="BA54" i="4"/>
  <c r="BA61" i="4" s="1"/>
  <c r="BA51" i="4"/>
  <c r="BA51" i="5"/>
  <c r="BC14" i="5"/>
  <c r="BB24" i="5"/>
  <c r="BB47" i="5" s="1"/>
  <c r="BB48" i="5" s="1"/>
  <c r="BD23" i="4"/>
  <c r="BD46" i="4" s="1"/>
  <c r="BD59" i="4" s="1"/>
  <c r="BE13" i="4"/>
  <c r="BO74" i="4"/>
  <c r="B74" i="4" s="1"/>
  <c r="BO68" i="4"/>
  <c r="B68" i="4" s="1"/>
  <c r="BO67" i="4"/>
  <c r="BO69" i="4"/>
  <c r="B69" i="4" s="1"/>
  <c r="BO73" i="4"/>
  <c r="B73" i="4" s="1"/>
  <c r="BO70" i="4"/>
  <c r="B70" i="4" s="1"/>
  <c r="BO71" i="4"/>
  <c r="B71" i="4" s="1"/>
  <c r="BO65" i="4"/>
  <c r="B65" i="4" s="1"/>
  <c r="B17" i="6" s="1"/>
  <c r="BO72" i="4"/>
  <c r="B72" i="4" s="1"/>
  <c r="BD23" i="5"/>
  <c r="BD46" i="5" s="1"/>
  <c r="BE13" i="5"/>
  <c r="BD19" i="5"/>
  <c r="BD42" i="5" s="1"/>
  <c r="BD18" i="5"/>
  <c r="BD41" i="5" s="1"/>
  <c r="BD21" i="5"/>
  <c r="BD44" i="5" s="1"/>
  <c r="BD20" i="5"/>
  <c r="BD43" i="5" s="1"/>
  <c r="BE11" i="5"/>
  <c r="BD53" i="4"/>
  <c r="BE22" i="4"/>
  <c r="BE45" i="4" s="1"/>
  <c r="BE58" i="4" s="1"/>
  <c r="BE17" i="4"/>
  <c r="BE40" i="4" s="1"/>
  <c r="BF12" i="4"/>
  <c r="BE17" i="5"/>
  <c r="BE40" i="5" s="1"/>
  <c r="BF12" i="5"/>
  <c r="BE22" i="5"/>
  <c r="BE45" i="5" s="1"/>
  <c r="BN75" i="4"/>
  <c r="BB48" i="4" l="1"/>
  <c r="BA78" i="4"/>
  <c r="BD14" i="4"/>
  <c r="BC24" i="4"/>
  <c r="BC47" i="4" s="1"/>
  <c r="BC60" i="4" s="1"/>
  <c r="BB51" i="5"/>
  <c r="BC24" i="5"/>
  <c r="BC47" i="5" s="1"/>
  <c r="BC48" i="5" s="1"/>
  <c r="BD14" i="5"/>
  <c r="BB54" i="4"/>
  <c r="BB61" i="4" s="1"/>
  <c r="BB51" i="4"/>
  <c r="BC19" i="4"/>
  <c r="BC42" i="4" s="1"/>
  <c r="BC55" i="4" s="1"/>
  <c r="BC18" i="4"/>
  <c r="BC41" i="4" s="1"/>
  <c r="BC21" i="4"/>
  <c r="BC44" i="4" s="1"/>
  <c r="BC57" i="4" s="1"/>
  <c r="BD11" i="4"/>
  <c r="BC20" i="4"/>
  <c r="BC43" i="4" s="1"/>
  <c r="BC56" i="4" s="1"/>
  <c r="BF13" i="5"/>
  <c r="BE23" i="5"/>
  <c r="BE46" i="5" s="1"/>
  <c r="BG12" i="4"/>
  <c r="BF22" i="4"/>
  <c r="BF45" i="4" s="1"/>
  <c r="BF58" i="4" s="1"/>
  <c r="BF17" i="4"/>
  <c r="BF40" i="4" s="1"/>
  <c r="BE18" i="5"/>
  <c r="BE41" i="5" s="1"/>
  <c r="BE21" i="5"/>
  <c r="BE44" i="5" s="1"/>
  <c r="BE20" i="5"/>
  <c r="BE43" i="5" s="1"/>
  <c r="BF11" i="5"/>
  <c r="BE19" i="5"/>
  <c r="BE42" i="5" s="1"/>
  <c r="BE53" i="4"/>
  <c r="BF17" i="5"/>
  <c r="BF40" i="5" s="1"/>
  <c r="BF22" i="5"/>
  <c r="BF45" i="5" s="1"/>
  <c r="BG12" i="5"/>
  <c r="BF13" i="4"/>
  <c r="BE23" i="4"/>
  <c r="BE46" i="4" s="1"/>
  <c r="BE59" i="4" s="1"/>
  <c r="BO75" i="4"/>
  <c r="B75" i="4" s="1"/>
  <c r="B93" i="4" s="1"/>
  <c r="B67" i="4"/>
  <c r="BB78" i="4" l="1"/>
  <c r="BC48" i="4"/>
  <c r="BE14" i="5"/>
  <c r="BD24" i="5"/>
  <c r="BD47" i="5" s="1"/>
  <c r="BD48" i="5" s="1"/>
  <c r="BC51" i="5"/>
  <c r="BC54" i="4"/>
  <c r="BC61" i="4" s="1"/>
  <c r="BC51" i="4"/>
  <c r="BD20" i="4"/>
  <c r="BD43" i="4" s="1"/>
  <c r="BD56" i="4" s="1"/>
  <c r="BD19" i="4"/>
  <c r="BD42" i="4" s="1"/>
  <c r="BD55" i="4" s="1"/>
  <c r="BE11" i="4"/>
  <c r="BD18" i="4"/>
  <c r="BD41" i="4" s="1"/>
  <c r="BD21" i="4"/>
  <c r="BD44" i="4" s="1"/>
  <c r="BD57" i="4" s="1"/>
  <c r="BD24" i="4"/>
  <c r="BD47" i="4" s="1"/>
  <c r="BD60" i="4" s="1"/>
  <c r="BE14" i="4"/>
  <c r="BF21" i="5"/>
  <c r="BF44" i="5" s="1"/>
  <c r="BF20" i="5"/>
  <c r="BF43" i="5" s="1"/>
  <c r="BG11" i="5"/>
  <c r="BF19" i="5"/>
  <c r="BF42" i="5" s="1"/>
  <c r="BF18" i="5"/>
  <c r="BF41" i="5" s="1"/>
  <c r="BH12" i="5"/>
  <c r="BG22" i="5"/>
  <c r="BG45" i="5" s="1"/>
  <c r="BG17" i="5"/>
  <c r="BG40" i="5" s="1"/>
  <c r="D93" i="4"/>
  <c r="E93" i="4"/>
  <c r="BG13" i="4"/>
  <c r="BF23" i="4"/>
  <c r="BF46" i="4" s="1"/>
  <c r="BF59" i="4" s="1"/>
  <c r="BF53" i="4"/>
  <c r="BG13" i="5"/>
  <c r="BF23" i="5"/>
  <c r="BF46" i="5" s="1"/>
  <c r="BH12" i="4"/>
  <c r="BG22" i="4"/>
  <c r="BG45" i="4" s="1"/>
  <c r="BG58" i="4" s="1"/>
  <c r="BG17" i="4"/>
  <c r="BG40" i="4" s="1"/>
  <c r="BD48" i="4" l="1"/>
  <c r="BC78" i="4"/>
  <c r="BD54" i="4"/>
  <c r="BD61" i="4" s="1"/>
  <c r="BD51" i="4"/>
  <c r="BD51" i="5"/>
  <c r="BF14" i="4"/>
  <c r="BE24" i="4"/>
  <c r="BE47" i="4" s="1"/>
  <c r="BE60" i="4" s="1"/>
  <c r="BE19" i="4"/>
  <c r="BE42" i="4" s="1"/>
  <c r="BE55" i="4" s="1"/>
  <c r="BF11" i="4"/>
  <c r="BE20" i="4"/>
  <c r="BE43" i="4" s="1"/>
  <c r="BE56" i="4" s="1"/>
  <c r="BE18" i="4"/>
  <c r="BE41" i="4" s="1"/>
  <c r="BE21" i="4"/>
  <c r="BE44" i="4" s="1"/>
  <c r="BE57" i="4" s="1"/>
  <c r="BE24" i="5"/>
  <c r="BE47" i="5" s="1"/>
  <c r="BE48" i="5" s="1"/>
  <c r="BF14" i="5"/>
  <c r="BG21" i="5"/>
  <c r="BG44" i="5" s="1"/>
  <c r="BG20" i="5"/>
  <c r="BG43" i="5" s="1"/>
  <c r="BH11" i="5"/>
  <c r="BG19" i="5"/>
  <c r="BG42" i="5" s="1"/>
  <c r="BG18" i="5"/>
  <c r="BG41" i="5" s="1"/>
  <c r="BH13" i="5"/>
  <c r="BG23" i="5"/>
  <c r="BG46" i="5" s="1"/>
  <c r="BG23" i="4"/>
  <c r="BG46" i="4" s="1"/>
  <c r="BG59" i="4" s="1"/>
  <c r="BH13" i="4"/>
  <c r="BI12" i="5"/>
  <c r="BH22" i="5"/>
  <c r="BH45" i="5" s="1"/>
  <c r="BH17" i="5"/>
  <c r="BH40" i="5" s="1"/>
  <c r="BG53" i="4"/>
  <c r="BI12" i="4"/>
  <c r="BH22" i="4"/>
  <c r="BH45" i="4" s="1"/>
  <c r="BH58" i="4" s="1"/>
  <c r="BH17" i="4"/>
  <c r="BH40" i="4" s="1"/>
  <c r="BD78" i="4" l="1"/>
  <c r="BE48" i="4"/>
  <c r="BG14" i="4"/>
  <c r="BF24" i="4"/>
  <c r="BF47" i="4" s="1"/>
  <c r="BF60" i="4" s="1"/>
  <c r="BG14" i="5"/>
  <c r="BF24" i="5"/>
  <c r="BF47" i="5" s="1"/>
  <c r="BF48" i="5" s="1"/>
  <c r="BF21" i="4"/>
  <c r="BF44" i="4" s="1"/>
  <c r="BF57" i="4" s="1"/>
  <c r="BF18" i="4"/>
  <c r="BF41" i="4" s="1"/>
  <c r="BF20" i="4"/>
  <c r="BF43" i="4" s="1"/>
  <c r="BF56" i="4" s="1"/>
  <c r="BF19" i="4"/>
  <c r="BF42" i="4" s="1"/>
  <c r="BF55" i="4" s="1"/>
  <c r="BG11" i="4"/>
  <c r="BE51" i="5"/>
  <c r="BE54" i="4"/>
  <c r="BE61" i="4" s="1"/>
  <c r="BE51" i="4"/>
  <c r="BH53" i="4"/>
  <c r="BI22" i="5"/>
  <c r="BI45" i="5" s="1"/>
  <c r="BI17" i="5"/>
  <c r="BI40" i="5" s="1"/>
  <c r="BJ12" i="5"/>
  <c r="BI11" i="5"/>
  <c r="BH21" i="5"/>
  <c r="BH44" i="5" s="1"/>
  <c r="BH20" i="5"/>
  <c r="BH43" i="5" s="1"/>
  <c r="BH19" i="5"/>
  <c r="BH42" i="5" s="1"/>
  <c r="BH18" i="5"/>
  <c r="BH41" i="5" s="1"/>
  <c r="BJ12" i="4"/>
  <c r="BI22" i="4"/>
  <c r="BI45" i="4" s="1"/>
  <c r="BI58" i="4" s="1"/>
  <c r="BI17" i="4"/>
  <c r="BI40" i="4" s="1"/>
  <c r="BH23" i="5"/>
  <c r="BH46" i="5" s="1"/>
  <c r="BI13" i="5"/>
  <c r="BI13" i="4"/>
  <c r="BH23" i="4"/>
  <c r="BH46" i="4" s="1"/>
  <c r="BH59" i="4" s="1"/>
  <c r="BE78" i="4" l="1"/>
  <c r="BF48" i="4"/>
  <c r="BF54" i="4"/>
  <c r="BF61" i="4" s="1"/>
  <c r="BF51" i="4"/>
  <c r="BH14" i="5"/>
  <c r="BG24" i="5"/>
  <c r="BG47" i="5" s="1"/>
  <c r="BG48" i="5" s="1"/>
  <c r="BF51" i="5"/>
  <c r="BG19" i="4"/>
  <c r="BG42" i="4" s="1"/>
  <c r="BG55" i="4" s="1"/>
  <c r="BG21" i="4"/>
  <c r="BG44" i="4" s="1"/>
  <c r="BG57" i="4" s="1"/>
  <c r="BH11" i="4"/>
  <c r="BG18" i="4"/>
  <c r="BG41" i="4" s="1"/>
  <c r="BG20" i="4"/>
  <c r="BG43" i="4" s="1"/>
  <c r="BG56" i="4" s="1"/>
  <c r="BG24" i="4"/>
  <c r="BG47" i="4" s="1"/>
  <c r="BG60" i="4" s="1"/>
  <c r="BH14" i="4"/>
  <c r="BI23" i="4"/>
  <c r="BI46" i="4" s="1"/>
  <c r="BI59" i="4" s="1"/>
  <c r="BJ13" i="4"/>
  <c r="BI53" i="4"/>
  <c r="BJ17" i="5"/>
  <c r="BJ40" i="5" s="1"/>
  <c r="BK12" i="5"/>
  <c r="BJ22" i="5"/>
  <c r="BJ45" i="5" s="1"/>
  <c r="BJ22" i="4"/>
  <c r="BJ45" i="4" s="1"/>
  <c r="BJ58" i="4" s="1"/>
  <c r="BK12" i="4"/>
  <c r="BJ17" i="4"/>
  <c r="BJ40" i="4" s="1"/>
  <c r="BJ13" i="5"/>
  <c r="BI23" i="5"/>
  <c r="BI46" i="5" s="1"/>
  <c r="BJ11" i="5"/>
  <c r="BI21" i="5"/>
  <c r="BI44" i="5" s="1"/>
  <c r="BI20" i="5"/>
  <c r="BI43" i="5" s="1"/>
  <c r="BI19" i="5"/>
  <c r="BI42" i="5" s="1"/>
  <c r="BI18" i="5"/>
  <c r="BI41" i="5" s="1"/>
  <c r="BF78" i="4" l="1"/>
  <c r="BG48" i="4"/>
  <c r="BH24" i="4"/>
  <c r="BH47" i="4" s="1"/>
  <c r="BH60" i="4" s="1"/>
  <c r="BI14" i="4"/>
  <c r="BI14" i="5"/>
  <c r="BH24" i="5"/>
  <c r="BH47" i="5" s="1"/>
  <c r="BH48" i="5" s="1"/>
  <c r="BG51" i="5"/>
  <c r="BG54" i="4"/>
  <c r="BG61" i="4" s="1"/>
  <c r="BG51" i="4"/>
  <c r="BI11" i="4"/>
  <c r="BH21" i="4"/>
  <c r="BH44" i="4" s="1"/>
  <c r="BH57" i="4" s="1"/>
  <c r="BH20" i="4"/>
  <c r="BH43" i="4" s="1"/>
  <c r="BH56" i="4" s="1"/>
  <c r="BH19" i="4"/>
  <c r="BH42" i="4" s="1"/>
  <c r="BH55" i="4" s="1"/>
  <c r="BH18" i="4"/>
  <c r="BH41" i="4" s="1"/>
  <c r="BK17" i="5"/>
  <c r="BK40" i="5" s="1"/>
  <c r="BL12" i="5"/>
  <c r="BK22" i="5"/>
  <c r="BK45" i="5" s="1"/>
  <c r="BK13" i="5"/>
  <c r="BJ23" i="5"/>
  <c r="BJ46" i="5" s="1"/>
  <c r="BK22" i="4"/>
  <c r="BK45" i="4" s="1"/>
  <c r="BK58" i="4" s="1"/>
  <c r="BL12" i="4"/>
  <c r="BK17" i="4"/>
  <c r="BK40" i="4" s="1"/>
  <c r="BJ23" i="4"/>
  <c r="BJ46" i="4" s="1"/>
  <c r="BJ59" i="4" s="1"/>
  <c r="BK13" i="4"/>
  <c r="BJ21" i="5"/>
  <c r="BJ44" i="5" s="1"/>
  <c r="BJ20" i="5"/>
  <c r="BJ43" i="5" s="1"/>
  <c r="BJ19" i="5"/>
  <c r="BJ42" i="5" s="1"/>
  <c r="BJ18" i="5"/>
  <c r="BJ41" i="5" s="1"/>
  <c r="BK11" i="5"/>
  <c r="BJ53" i="4"/>
  <c r="BG78" i="4" l="1"/>
  <c r="BH48" i="4"/>
  <c r="BJ14" i="5"/>
  <c r="BI24" i="5"/>
  <c r="BI47" i="5" s="1"/>
  <c r="BI48" i="5" s="1"/>
  <c r="BH54" i="4"/>
  <c r="BH61" i="4" s="1"/>
  <c r="BH51" i="4"/>
  <c r="BJ14" i="4"/>
  <c r="BI24" i="4"/>
  <c r="BI47" i="4" s="1"/>
  <c r="BI60" i="4" s="1"/>
  <c r="BH51" i="5"/>
  <c r="BI20" i="4"/>
  <c r="BI43" i="4" s="1"/>
  <c r="BI56" i="4" s="1"/>
  <c r="BI19" i="4"/>
  <c r="BI42" i="4" s="1"/>
  <c r="BI55" i="4" s="1"/>
  <c r="BI18" i="4"/>
  <c r="BI41" i="4" s="1"/>
  <c r="BJ11" i="4"/>
  <c r="BI21" i="4"/>
  <c r="BI44" i="4" s="1"/>
  <c r="BI57" i="4" s="1"/>
  <c r="BL17" i="5"/>
  <c r="BL40" i="5" s="1"/>
  <c r="BM12" i="5"/>
  <c r="BL22" i="5"/>
  <c r="BL45" i="5" s="1"/>
  <c r="BK53" i="4"/>
  <c r="BL22" i="4"/>
  <c r="BL45" i="4" s="1"/>
  <c r="BL58" i="4" s="1"/>
  <c r="BL17" i="4"/>
  <c r="BL40" i="4" s="1"/>
  <c r="BM12" i="4"/>
  <c r="BL13" i="5"/>
  <c r="BK23" i="5"/>
  <c r="BK46" i="5" s="1"/>
  <c r="BK23" i="4"/>
  <c r="BK46" i="4" s="1"/>
  <c r="BK59" i="4" s="1"/>
  <c r="BL13" i="4"/>
  <c r="BK20" i="5"/>
  <c r="BK43" i="5" s="1"/>
  <c r="BK19" i="5"/>
  <c r="BK42" i="5" s="1"/>
  <c r="BK18" i="5"/>
  <c r="BK41" i="5" s="1"/>
  <c r="BK21" i="5"/>
  <c r="BK44" i="5" s="1"/>
  <c r="BL11" i="5"/>
  <c r="BH78" i="4" l="1"/>
  <c r="BI48" i="4"/>
  <c r="BJ24" i="4"/>
  <c r="BJ47" i="4" s="1"/>
  <c r="BJ60" i="4" s="1"/>
  <c r="BK14" i="4"/>
  <c r="BI54" i="4"/>
  <c r="BI61" i="4" s="1"/>
  <c r="BI51" i="4"/>
  <c r="BI51" i="5"/>
  <c r="BJ20" i="4"/>
  <c r="BJ43" i="4" s="1"/>
  <c r="BJ56" i="4" s="1"/>
  <c r="BJ19" i="4"/>
  <c r="BJ42" i="4" s="1"/>
  <c r="BJ55" i="4" s="1"/>
  <c r="BK11" i="4"/>
  <c r="BJ18" i="4"/>
  <c r="BJ41" i="4" s="1"/>
  <c r="BJ21" i="4"/>
  <c r="BJ44" i="4" s="1"/>
  <c r="BJ57" i="4" s="1"/>
  <c r="BK14" i="5"/>
  <c r="BJ24" i="5"/>
  <c r="BJ47" i="5" s="1"/>
  <c r="BJ48" i="5" s="1"/>
  <c r="BM13" i="5"/>
  <c r="BL23" i="5"/>
  <c r="BL46" i="5" s="1"/>
  <c r="BM17" i="5"/>
  <c r="BM40" i="5" s="1"/>
  <c r="BN12" i="5"/>
  <c r="BM22" i="5"/>
  <c r="BM45" i="5" s="1"/>
  <c r="BL53" i="4"/>
  <c r="BL19" i="5"/>
  <c r="BL42" i="5" s="1"/>
  <c r="BL18" i="5"/>
  <c r="BL41" i="5" s="1"/>
  <c r="BL21" i="5"/>
  <c r="BL44" i="5" s="1"/>
  <c r="BM11" i="5"/>
  <c r="BL20" i="5"/>
  <c r="BL43" i="5" s="1"/>
  <c r="BM17" i="4"/>
  <c r="BM40" i="4" s="1"/>
  <c r="BM22" i="4"/>
  <c r="BM45" i="4" s="1"/>
  <c r="BM58" i="4" s="1"/>
  <c r="BN12" i="4"/>
  <c r="BL23" i="4"/>
  <c r="BL46" i="4" s="1"/>
  <c r="BL59" i="4" s="1"/>
  <c r="BM13" i="4"/>
  <c r="BI78" i="4" l="1"/>
  <c r="BJ48" i="4"/>
  <c r="BJ51" i="5"/>
  <c r="BK24" i="5"/>
  <c r="BK47" i="5" s="1"/>
  <c r="BK48" i="5" s="1"/>
  <c r="BL14" i="5"/>
  <c r="BJ54" i="4"/>
  <c r="BJ61" i="4" s="1"/>
  <c r="BJ51" i="4"/>
  <c r="BK24" i="4"/>
  <c r="BK47" i="4" s="1"/>
  <c r="BK60" i="4" s="1"/>
  <c r="BL14" i="4"/>
  <c r="BK19" i="4"/>
  <c r="BK42" i="4" s="1"/>
  <c r="BK55" i="4" s="1"/>
  <c r="BK18" i="4"/>
  <c r="BK41" i="4" s="1"/>
  <c r="BK20" i="4"/>
  <c r="BK43" i="4" s="1"/>
  <c r="BK56" i="4" s="1"/>
  <c r="BK21" i="4"/>
  <c r="BK44" i="4" s="1"/>
  <c r="BK57" i="4" s="1"/>
  <c r="BL11" i="4"/>
  <c r="BM18" i="5"/>
  <c r="BM41" i="5" s="1"/>
  <c r="BM21" i="5"/>
  <c r="BM44" i="5" s="1"/>
  <c r="BN11" i="5"/>
  <c r="BM20" i="5"/>
  <c r="BM43" i="5" s="1"/>
  <c r="BM19" i="5"/>
  <c r="BM42" i="5" s="1"/>
  <c r="BN17" i="5"/>
  <c r="BN40" i="5" s="1"/>
  <c r="BO12" i="5"/>
  <c r="BN22" i="5"/>
  <c r="BN45" i="5" s="1"/>
  <c r="BN22" i="4"/>
  <c r="BN45" i="4" s="1"/>
  <c r="BN58" i="4" s="1"/>
  <c r="BO12" i="4"/>
  <c r="BN17" i="4"/>
  <c r="BN40" i="4" s="1"/>
  <c r="BN13" i="5"/>
  <c r="BM23" i="5"/>
  <c r="BM46" i="5" s="1"/>
  <c r="BM23" i="4"/>
  <c r="BM46" i="4" s="1"/>
  <c r="BM59" i="4" s="1"/>
  <c r="BN13" i="4"/>
  <c r="BM53" i="4"/>
  <c r="BK48" i="4" l="1"/>
  <c r="BJ78" i="4"/>
  <c r="BM14" i="5"/>
  <c r="BL24" i="5"/>
  <c r="BL47" i="5" s="1"/>
  <c r="BL48" i="5" s="1"/>
  <c r="BL18" i="4"/>
  <c r="BL41" i="4" s="1"/>
  <c r="BL20" i="4"/>
  <c r="BL43" i="4" s="1"/>
  <c r="BL56" i="4" s="1"/>
  <c r="BL21" i="4"/>
  <c r="BL44" i="4" s="1"/>
  <c r="BL57" i="4" s="1"/>
  <c r="BL19" i="4"/>
  <c r="BL42" i="4" s="1"/>
  <c r="BL55" i="4" s="1"/>
  <c r="BM11" i="4"/>
  <c r="BK54" i="4"/>
  <c r="BK61" i="4" s="1"/>
  <c r="BK51" i="4"/>
  <c r="BK51" i="5"/>
  <c r="BL24" i="4"/>
  <c r="BL47" i="4" s="1"/>
  <c r="BL60" i="4" s="1"/>
  <c r="BM14" i="4"/>
  <c r="BO22" i="5"/>
  <c r="BO45" i="5" s="1"/>
  <c r="BO17" i="5"/>
  <c r="BO40" i="5" s="1"/>
  <c r="BO13" i="4"/>
  <c r="BO23" i="4" s="1"/>
  <c r="BO46" i="4" s="1"/>
  <c r="BN23" i="4"/>
  <c r="BN46" i="4" s="1"/>
  <c r="BN59" i="4" s="1"/>
  <c r="BO13" i="5"/>
  <c r="BO23" i="5" s="1"/>
  <c r="BO46" i="5" s="1"/>
  <c r="BN23" i="5"/>
  <c r="BN46" i="5" s="1"/>
  <c r="BN53" i="4"/>
  <c r="BO17" i="4"/>
  <c r="BO40" i="4" s="1"/>
  <c r="BO22" i="4"/>
  <c r="BO45" i="4" s="1"/>
  <c r="BN21" i="5"/>
  <c r="BN44" i="5" s="1"/>
  <c r="BO11" i="5"/>
  <c r="BN20" i="5"/>
  <c r="BN43" i="5" s="1"/>
  <c r="BN19" i="5"/>
  <c r="BN42" i="5" s="1"/>
  <c r="BN18" i="5"/>
  <c r="BN41" i="5" s="1"/>
  <c r="BK78" i="4" l="1"/>
  <c r="BL48" i="4"/>
  <c r="BM20" i="4"/>
  <c r="BM43" i="4" s="1"/>
  <c r="BM18" i="4"/>
  <c r="BM41" i="4" s="1"/>
  <c r="BN11" i="4"/>
  <c r="BM21" i="4"/>
  <c r="BM44" i="4" s="1"/>
  <c r="BM57" i="4" s="1"/>
  <c r="BM19" i="4"/>
  <c r="BM42" i="4" s="1"/>
  <c r="BN14" i="4"/>
  <c r="BM24" i="4"/>
  <c r="BM47" i="4" s="1"/>
  <c r="BM60" i="4" s="1"/>
  <c r="BL54" i="4"/>
  <c r="BL61" i="4" s="1"/>
  <c r="BL51" i="4"/>
  <c r="BL51" i="5"/>
  <c r="BN14" i="5"/>
  <c r="BM24" i="5"/>
  <c r="BM47" i="5" s="1"/>
  <c r="BM48" i="5" s="1"/>
  <c r="BO58" i="4"/>
  <c r="B58" i="4" s="1"/>
  <c r="B45" i="4"/>
  <c r="BO53" i="4"/>
  <c r="B40" i="4"/>
  <c r="B45" i="5"/>
  <c r="BO59" i="4"/>
  <c r="B59" i="4" s="1"/>
  <c r="B46" i="4"/>
  <c r="BO21" i="5"/>
  <c r="BO44" i="5" s="1"/>
  <c r="BO20" i="5"/>
  <c r="BO43" i="5" s="1"/>
  <c r="BO19" i="5"/>
  <c r="BO42" i="5" s="1"/>
  <c r="BO18" i="5"/>
  <c r="BO41" i="5" s="1"/>
  <c r="B40" i="5"/>
  <c r="B46" i="5"/>
  <c r="BM48" i="4" l="1"/>
  <c r="BM56" i="4"/>
  <c r="BM55" i="4"/>
  <c r="BL78" i="4"/>
  <c r="BN20" i="4"/>
  <c r="BN43" i="4" s="1"/>
  <c r="BN56" i="4" s="1"/>
  <c r="BN19" i="4"/>
  <c r="BN42" i="4" s="1"/>
  <c r="BN55" i="4" s="1"/>
  <c r="BO11" i="4"/>
  <c r="BN21" i="4"/>
  <c r="BN44" i="4" s="1"/>
  <c r="BN18" i="4"/>
  <c r="BN41" i="4" s="1"/>
  <c r="BM54" i="4"/>
  <c r="BM51" i="4"/>
  <c r="BN24" i="4"/>
  <c r="BN47" i="4" s="1"/>
  <c r="BO14" i="4"/>
  <c r="BO24" i="4" s="1"/>
  <c r="BO47" i="4" s="1"/>
  <c r="BO60" i="4" s="1"/>
  <c r="BM51" i="5"/>
  <c r="BO14" i="5"/>
  <c r="BO24" i="5" s="1"/>
  <c r="BO47" i="5" s="1"/>
  <c r="BN24" i="5"/>
  <c r="BN47" i="5" s="1"/>
  <c r="B42" i="5"/>
  <c r="B41" i="5"/>
  <c r="B43" i="5"/>
  <c r="B44" i="5"/>
  <c r="B53" i="4"/>
  <c r="BM61" i="4" l="1"/>
  <c r="BM78" i="4" s="1"/>
  <c r="BN48" i="4"/>
  <c r="BO48" i="5"/>
  <c r="BN57" i="4"/>
  <c r="BN48" i="5"/>
  <c r="B47" i="5"/>
  <c r="BN60" i="4"/>
  <c r="B60" i="4" s="1"/>
  <c r="B47" i="4"/>
  <c r="BN51" i="5"/>
  <c r="BN54" i="4"/>
  <c r="BN51" i="4"/>
  <c r="BO20" i="4"/>
  <c r="BO43" i="4" s="1"/>
  <c r="BO18" i="4"/>
  <c r="BO41" i="4" s="1"/>
  <c r="BO21" i="4"/>
  <c r="BO44" i="4" s="1"/>
  <c r="BO57" i="4" s="1"/>
  <c r="BO19" i="4"/>
  <c r="BO42" i="4" s="1"/>
  <c r="BO51" i="5"/>
  <c r="BO48" i="4" l="1"/>
  <c r="B48" i="4" s="1"/>
  <c r="B44" i="4"/>
  <c r="BN61" i="4"/>
  <c r="BN78" i="4" s="1"/>
  <c r="B48" i="5"/>
  <c r="BO56" i="4"/>
  <c r="B56" i="4" s="1"/>
  <c r="B43" i="4"/>
  <c r="BO55" i="4"/>
  <c r="B55" i="4" s="1"/>
  <c r="B42" i="4"/>
  <c r="B41" i="4"/>
  <c r="B51" i="5"/>
  <c r="B16" i="7" s="1"/>
  <c r="B57" i="4"/>
  <c r="BO54" i="4"/>
  <c r="BO51" i="4"/>
  <c r="B51" i="4" s="1"/>
  <c r="B16" i="6" s="1"/>
  <c r="B91" i="4" l="1"/>
  <c r="B187" i="8"/>
  <c r="B54" i="4"/>
  <c r="BO61" i="4"/>
  <c r="B188" i="8"/>
  <c r="B91" i="5"/>
  <c r="D91" i="4" l="1"/>
  <c r="E91" i="4"/>
  <c r="C33" i="3" s="1"/>
  <c r="B61" i="4"/>
  <c r="B92" i="4" s="1"/>
  <c r="BO78" i="4"/>
  <c r="E91" i="5"/>
  <c r="C37" i="3" s="1"/>
  <c r="D91" i="5"/>
  <c r="B78" i="4" l="1"/>
  <c r="D92" i="4"/>
  <c r="E92" i="4"/>
  <c r="D315" i="8" l="1"/>
  <c r="D323" i="8" s="1"/>
  <c r="C315" i="8"/>
  <c r="B315" i="8"/>
  <c r="B322" i="8" s="1"/>
  <c r="D313" i="8"/>
  <c r="D314" i="8" s="1"/>
  <c r="C313" i="8"/>
  <c r="C316" i="8" s="1"/>
  <c r="B313" i="8"/>
  <c r="B314" i="8" s="1"/>
  <c r="D312" i="8"/>
  <c r="C312" i="8"/>
  <c r="B312" i="8"/>
  <c r="D297" i="8"/>
  <c r="C297" i="8"/>
  <c r="B297" i="8"/>
  <c r="C295" i="8"/>
  <c r="C296" i="8" s="1"/>
  <c r="B295" i="8"/>
  <c r="B298" i="8" s="1"/>
  <c r="D294" i="8"/>
  <c r="D295" i="8" s="1"/>
  <c r="C294" i="8"/>
  <c r="B294" i="8"/>
  <c r="F80" i="8"/>
  <c r="F79" i="8"/>
  <c r="F78" i="8"/>
  <c r="F77" i="8"/>
  <c r="F76" i="8"/>
  <c r="F75" i="8"/>
  <c r="F74" i="8"/>
  <c r="F73" i="8"/>
  <c r="B7" i="7"/>
  <c r="B171" i="8" s="1"/>
  <c r="B7" i="6"/>
  <c r="B6" i="8" s="1"/>
  <c r="E17" i="1"/>
  <c r="B317" i="8" l="1"/>
  <c r="D296" i="8"/>
  <c r="D298" i="8"/>
  <c r="G55" i="5"/>
  <c r="D55" i="5"/>
  <c r="E55" i="5"/>
  <c r="F55" i="5"/>
  <c r="C55" i="5"/>
  <c r="H55" i="5"/>
  <c r="I55" i="5"/>
  <c r="J55" i="5"/>
  <c r="L55" i="5"/>
  <c r="K55" i="5"/>
  <c r="M55" i="5"/>
  <c r="N55" i="5"/>
  <c r="O55" i="5"/>
  <c r="P55" i="5"/>
  <c r="Q55" i="5"/>
  <c r="R55" i="5"/>
  <c r="S55" i="5"/>
  <c r="T55" i="5"/>
  <c r="U55" i="5"/>
  <c r="V55" i="5"/>
  <c r="W55" i="5"/>
  <c r="X55" i="5"/>
  <c r="Y55" i="5"/>
  <c r="Z55" i="5"/>
  <c r="AA55" i="5"/>
  <c r="AB55" i="5"/>
  <c r="AC55" i="5"/>
  <c r="AD55" i="5"/>
  <c r="AE55" i="5"/>
  <c r="AF55" i="5"/>
  <c r="AG55" i="5"/>
  <c r="AH55" i="5"/>
  <c r="AI55" i="5"/>
  <c r="AJ55" i="5"/>
  <c r="AK55" i="5"/>
  <c r="AL55" i="5"/>
  <c r="AM55" i="5"/>
  <c r="AN55" i="5"/>
  <c r="AO55" i="5"/>
  <c r="AP55" i="5"/>
  <c r="AQ55" i="5"/>
  <c r="AR55" i="5"/>
  <c r="AS55" i="5"/>
  <c r="AT55" i="5"/>
  <c r="AU55" i="5"/>
  <c r="AV55" i="5"/>
  <c r="AW55" i="5"/>
  <c r="AX55" i="5"/>
  <c r="AY55" i="5"/>
  <c r="AZ55" i="5"/>
  <c r="BA55" i="5"/>
  <c r="BB55" i="5"/>
  <c r="BC55" i="5"/>
  <c r="BD55" i="5"/>
  <c r="BE55" i="5"/>
  <c r="BF55" i="5"/>
  <c r="BG55" i="5"/>
  <c r="BH55" i="5"/>
  <c r="BI55" i="5"/>
  <c r="BJ55" i="5"/>
  <c r="BK55" i="5"/>
  <c r="BL55" i="5"/>
  <c r="BM55" i="5"/>
  <c r="BN55" i="5"/>
  <c r="BO55" i="5"/>
  <c r="BE120" i="4"/>
  <c r="BI120" i="4"/>
  <c r="AR120" i="4"/>
  <c r="BB120" i="4"/>
  <c r="BF120" i="4"/>
  <c r="BJ120" i="4"/>
  <c r="AW120" i="4"/>
  <c r="AY120" i="4"/>
  <c r="AT120" i="4"/>
  <c r="BH120" i="4"/>
  <c r="AS120" i="4"/>
  <c r="BO120" i="4"/>
  <c r="BG120" i="4"/>
  <c r="BC120" i="4"/>
  <c r="BK120" i="4"/>
  <c r="BN120" i="4"/>
  <c r="AU120" i="4"/>
  <c r="AX120" i="4"/>
  <c r="BM120" i="4"/>
  <c r="BL120" i="4"/>
  <c r="AZ120" i="4"/>
  <c r="AV120" i="4"/>
  <c r="BD120" i="4"/>
  <c r="BA120" i="4"/>
  <c r="B316" i="8"/>
  <c r="C54" i="5"/>
  <c r="F54" i="5"/>
  <c r="G54" i="5"/>
  <c r="E54" i="5"/>
  <c r="H54" i="5"/>
  <c r="D54" i="5"/>
  <c r="I54" i="5"/>
  <c r="J54" i="5"/>
  <c r="K54" i="5"/>
  <c r="L54" i="5"/>
  <c r="M54" i="5"/>
  <c r="N54" i="5"/>
  <c r="O54" i="5"/>
  <c r="P54" i="5"/>
  <c r="Q54" i="5"/>
  <c r="R54" i="5"/>
  <c r="S54" i="5"/>
  <c r="T54" i="5"/>
  <c r="U54" i="5"/>
  <c r="V54" i="5"/>
  <c r="W54" i="5"/>
  <c r="X54" i="5"/>
  <c r="Y54" i="5"/>
  <c r="Z54" i="5"/>
  <c r="AA54" i="5"/>
  <c r="AB54" i="5"/>
  <c r="AC54" i="5"/>
  <c r="AD54" i="5"/>
  <c r="AE54" i="5"/>
  <c r="AF54" i="5"/>
  <c r="AG54" i="5"/>
  <c r="AH54" i="5"/>
  <c r="AI54" i="5"/>
  <c r="AJ54" i="5"/>
  <c r="AK54" i="5"/>
  <c r="AL54" i="5"/>
  <c r="AM54" i="5"/>
  <c r="AN54" i="5"/>
  <c r="AO54" i="5"/>
  <c r="AP54" i="5"/>
  <c r="AQ54" i="5"/>
  <c r="AR54" i="5"/>
  <c r="AS54" i="5"/>
  <c r="AT54" i="5"/>
  <c r="AU54" i="5"/>
  <c r="AV54" i="5"/>
  <c r="AW54" i="5"/>
  <c r="AX54" i="5"/>
  <c r="AY54" i="5"/>
  <c r="AZ54" i="5"/>
  <c r="BA54" i="5"/>
  <c r="BB54" i="5"/>
  <c r="BC54" i="5"/>
  <c r="BD54" i="5"/>
  <c r="BE54" i="5"/>
  <c r="BF54" i="5"/>
  <c r="BG54" i="5"/>
  <c r="BH54" i="5"/>
  <c r="BI54" i="5"/>
  <c r="BJ54" i="5"/>
  <c r="BK54" i="5"/>
  <c r="BL54" i="5"/>
  <c r="BM54" i="5"/>
  <c r="BN54" i="5"/>
  <c r="BO54" i="5"/>
  <c r="AT118" i="4"/>
  <c r="BM118" i="4"/>
  <c r="BM121" i="4" s="1"/>
  <c r="BM80" i="4" s="1"/>
  <c r="BM81" i="4" s="1"/>
  <c r="AI118" i="4"/>
  <c r="AJ118" i="4"/>
  <c r="AG118" i="4"/>
  <c r="AS118" i="4"/>
  <c r="AC118" i="4"/>
  <c r="BH118" i="4"/>
  <c r="AK118" i="4"/>
  <c r="AQ118" i="4"/>
  <c r="Y118" i="4"/>
  <c r="BG118" i="4"/>
  <c r="AM118" i="4"/>
  <c r="AP118" i="4"/>
  <c r="AX118" i="4"/>
  <c r="AU118" i="4"/>
  <c r="AN118" i="4"/>
  <c r="BF118" i="4"/>
  <c r="BB118" i="4"/>
  <c r="BJ118" i="4"/>
  <c r="AB118" i="4"/>
  <c r="AF118" i="4"/>
  <c r="AE118" i="4"/>
  <c r="BO118" i="4"/>
  <c r="AD118" i="4"/>
  <c r="BC118" i="4"/>
  <c r="AL118" i="4"/>
  <c r="BA118" i="4"/>
  <c r="AV118" i="4"/>
  <c r="AO118" i="4"/>
  <c r="AZ118" i="4"/>
  <c r="BN118" i="4"/>
  <c r="BD118" i="4"/>
  <c r="AW118" i="4"/>
  <c r="AH118" i="4"/>
  <c r="BI118" i="4"/>
  <c r="BK118" i="4"/>
  <c r="BL118" i="4"/>
  <c r="BE118" i="4"/>
  <c r="AA118" i="4"/>
  <c r="AY118" i="4"/>
  <c r="AR118" i="4"/>
  <c r="Z118" i="4"/>
  <c r="D299" i="8"/>
  <c r="B305" i="8"/>
  <c r="BJ119" i="5"/>
  <c r="BH119" i="5"/>
  <c r="BF119" i="5"/>
  <c r="BE119" i="5"/>
  <c r="BO119" i="5"/>
  <c r="BN119" i="5"/>
  <c r="BD119" i="5"/>
  <c r="BM119" i="5"/>
  <c r="BC119" i="5"/>
  <c r="BL119" i="5"/>
  <c r="BB119" i="5"/>
  <c r="BK119" i="5"/>
  <c r="AZ119" i="5"/>
  <c r="BG119" i="5"/>
  <c r="BA119" i="5"/>
  <c r="BI119" i="5"/>
  <c r="C323" i="8"/>
  <c r="B125" i="8"/>
  <c r="B127" i="8" s="1"/>
  <c r="B109" i="4" s="1"/>
  <c r="C14" i="2" s="1"/>
  <c r="AG6" i="4"/>
  <c r="BC6" i="4"/>
  <c r="AO6" i="4"/>
  <c r="U6" i="4"/>
  <c r="AE6" i="4"/>
  <c r="AT6" i="4"/>
  <c r="AH6" i="4"/>
  <c r="S6" i="4"/>
  <c r="L6" i="4"/>
  <c r="AY6" i="4"/>
  <c r="Q6" i="4"/>
  <c r="P6" i="4"/>
  <c r="BE6" i="4"/>
  <c r="AK6" i="4"/>
  <c r="AU6" i="4"/>
  <c r="BB6" i="4"/>
  <c r="AP6" i="4"/>
  <c r="AA6" i="4"/>
  <c r="T6" i="4"/>
  <c r="AF6" i="4"/>
  <c r="AM6" i="4"/>
  <c r="G6" i="4"/>
  <c r="BK6" i="4"/>
  <c r="BJ6" i="4"/>
  <c r="AX6" i="4"/>
  <c r="AI6" i="4"/>
  <c r="AB6" i="4"/>
  <c r="AR6" i="4"/>
  <c r="AV6" i="4"/>
  <c r="M6" i="4"/>
  <c r="H6" i="4"/>
  <c r="F6" i="4"/>
  <c r="BF6" i="4"/>
  <c r="AQ6" i="4"/>
  <c r="AJ6" i="4"/>
  <c r="BL6" i="4"/>
  <c r="AC6" i="4"/>
  <c r="X6" i="4"/>
  <c r="N6" i="4"/>
  <c r="BN6" i="4"/>
  <c r="AW6" i="4"/>
  <c r="W6" i="4"/>
  <c r="AS6" i="4"/>
  <c r="AN6" i="4"/>
  <c r="V6" i="4"/>
  <c r="J6" i="4"/>
  <c r="BG6" i="4"/>
  <c r="AZ6" i="4"/>
  <c r="BO6" i="4"/>
  <c r="BM6" i="4"/>
  <c r="I6" i="4"/>
  <c r="BI6" i="4"/>
  <c r="BD6" i="4"/>
  <c r="AD6" i="4"/>
  <c r="R6" i="4"/>
  <c r="C6" i="4"/>
  <c r="BH6" i="4"/>
  <c r="BA6" i="4"/>
  <c r="Y6" i="4"/>
  <c r="E6" i="4"/>
  <c r="O6" i="4"/>
  <c r="AL6" i="4"/>
  <c r="Z6" i="4"/>
  <c r="K6" i="4"/>
  <c r="D6" i="4"/>
  <c r="D59" i="5"/>
  <c r="C59" i="5"/>
  <c r="E59" i="5"/>
  <c r="G59" i="5"/>
  <c r="F59" i="5"/>
  <c r="H59" i="5"/>
  <c r="I59" i="5"/>
  <c r="J59" i="5"/>
  <c r="K59" i="5"/>
  <c r="L59" i="5"/>
  <c r="M59" i="5"/>
  <c r="N59" i="5"/>
  <c r="O59" i="5"/>
  <c r="P59" i="5"/>
  <c r="Q59" i="5"/>
  <c r="R59" i="5"/>
  <c r="S59" i="5"/>
  <c r="T59" i="5"/>
  <c r="U59" i="5"/>
  <c r="V59" i="5"/>
  <c r="W59" i="5"/>
  <c r="X59" i="5"/>
  <c r="Y59" i="5"/>
  <c r="Z59" i="5"/>
  <c r="AA59" i="5"/>
  <c r="AB59" i="5"/>
  <c r="AC59" i="5"/>
  <c r="AD59" i="5"/>
  <c r="AE59" i="5"/>
  <c r="AF59" i="5"/>
  <c r="AG59" i="5"/>
  <c r="AH59" i="5"/>
  <c r="AI59" i="5"/>
  <c r="AJ59" i="5"/>
  <c r="AK59" i="5"/>
  <c r="AL59" i="5"/>
  <c r="AM59" i="5"/>
  <c r="AN59" i="5"/>
  <c r="AO59" i="5"/>
  <c r="AP59" i="5"/>
  <c r="AQ59" i="5"/>
  <c r="AR59" i="5"/>
  <c r="AS59" i="5"/>
  <c r="AT59" i="5"/>
  <c r="AU59" i="5"/>
  <c r="AV59" i="5"/>
  <c r="AW59" i="5"/>
  <c r="AX59" i="5"/>
  <c r="AY59" i="5"/>
  <c r="AZ59" i="5"/>
  <c r="BA59" i="5"/>
  <c r="BB59" i="5"/>
  <c r="BC59" i="5"/>
  <c r="BD59" i="5"/>
  <c r="BE59" i="5"/>
  <c r="BF59" i="5"/>
  <c r="BG59" i="5"/>
  <c r="BH59" i="5"/>
  <c r="BI59" i="5"/>
  <c r="BJ59" i="5"/>
  <c r="BK59" i="5"/>
  <c r="BL59" i="5"/>
  <c r="BM59" i="5"/>
  <c r="BN59" i="5"/>
  <c r="BO59" i="5"/>
  <c r="B296" i="8"/>
  <c r="B304" i="8"/>
  <c r="C314" i="8"/>
  <c r="C322" i="8"/>
  <c r="BM119" i="4"/>
  <c r="AR119" i="4"/>
  <c r="BC119" i="4"/>
  <c r="AT119" i="4"/>
  <c r="AY119" i="4"/>
  <c r="AV119" i="4"/>
  <c r="BL119" i="4"/>
  <c r="BN119" i="4"/>
  <c r="BF119" i="4"/>
  <c r="AS119" i="4"/>
  <c r="BI119" i="4"/>
  <c r="BI121" i="4" s="1"/>
  <c r="BI80" i="4" s="1"/>
  <c r="BI81" i="4" s="1"/>
  <c r="BK119" i="4"/>
  <c r="BK121" i="4" s="1"/>
  <c r="BK80" i="4" s="1"/>
  <c r="BK81" i="4" s="1"/>
  <c r="AW119" i="4"/>
  <c r="AQ119" i="4"/>
  <c r="BO119" i="4"/>
  <c r="AZ119" i="4"/>
  <c r="AX119" i="4"/>
  <c r="AX121" i="4" s="1"/>
  <c r="AX80" i="4" s="1"/>
  <c r="AX81" i="4" s="1"/>
  <c r="AX84" i="4" s="1"/>
  <c r="BD119" i="4"/>
  <c r="AU119" i="4"/>
  <c r="AU121" i="4" s="1"/>
  <c r="AU80" i="4" s="1"/>
  <c r="AU81" i="4" s="1"/>
  <c r="BE119" i="4"/>
  <c r="BJ119" i="4"/>
  <c r="BG119" i="4"/>
  <c r="BG121" i="4" s="1"/>
  <c r="BG80" i="4" s="1"/>
  <c r="BG81" i="4" s="1"/>
  <c r="BG84" i="4" s="1"/>
  <c r="AO119" i="4"/>
  <c r="BH119" i="4"/>
  <c r="BB119" i="4"/>
  <c r="BA119" i="4"/>
  <c r="BA121" i="4" s="1"/>
  <c r="BA80" i="4" s="1"/>
  <c r="BA81" i="4" s="1"/>
  <c r="BA84" i="4" s="1"/>
  <c r="AP119" i="4"/>
  <c r="C305" i="8"/>
  <c r="F56" i="5"/>
  <c r="E56" i="5"/>
  <c r="C56" i="5"/>
  <c r="D56" i="5"/>
  <c r="G56" i="5"/>
  <c r="J56" i="5"/>
  <c r="H56" i="5"/>
  <c r="I56" i="5"/>
  <c r="L56" i="5"/>
  <c r="K56" i="5"/>
  <c r="M56" i="5"/>
  <c r="N56" i="5"/>
  <c r="O56" i="5"/>
  <c r="P56" i="5"/>
  <c r="Q56" i="5"/>
  <c r="R56" i="5"/>
  <c r="S56" i="5"/>
  <c r="T56" i="5"/>
  <c r="U56" i="5"/>
  <c r="V56" i="5"/>
  <c r="W56" i="5"/>
  <c r="X56" i="5"/>
  <c r="Y56" i="5"/>
  <c r="Z56" i="5"/>
  <c r="AA56" i="5"/>
  <c r="AB56" i="5"/>
  <c r="AC56" i="5"/>
  <c r="AD56" i="5"/>
  <c r="AE56" i="5"/>
  <c r="AF56" i="5"/>
  <c r="AG56" i="5"/>
  <c r="AH56" i="5"/>
  <c r="AI56" i="5"/>
  <c r="AJ56" i="5"/>
  <c r="AK56" i="5"/>
  <c r="AL56" i="5"/>
  <c r="AM56" i="5"/>
  <c r="AN56" i="5"/>
  <c r="AO56" i="5"/>
  <c r="AP56" i="5"/>
  <c r="AQ56" i="5"/>
  <c r="AR56" i="5"/>
  <c r="AS56" i="5"/>
  <c r="AT56" i="5"/>
  <c r="AU56" i="5"/>
  <c r="AV56" i="5"/>
  <c r="AW56" i="5"/>
  <c r="AX56" i="5"/>
  <c r="AY56" i="5"/>
  <c r="AZ56" i="5"/>
  <c r="BA56" i="5"/>
  <c r="BB56" i="5"/>
  <c r="BC56" i="5"/>
  <c r="BD56" i="5"/>
  <c r="BE56" i="5"/>
  <c r="BF56" i="5"/>
  <c r="BG56" i="5"/>
  <c r="BH56" i="5"/>
  <c r="BI56" i="5"/>
  <c r="BJ56" i="5"/>
  <c r="BK56" i="5"/>
  <c r="BL56" i="5"/>
  <c r="BM56" i="5"/>
  <c r="BN56" i="5"/>
  <c r="BO56" i="5"/>
  <c r="D305" i="8"/>
  <c r="D57" i="5"/>
  <c r="C57" i="5"/>
  <c r="E57" i="5"/>
  <c r="F57" i="5"/>
  <c r="G57" i="5"/>
  <c r="H57" i="5"/>
  <c r="J57" i="5"/>
  <c r="I57" i="5"/>
  <c r="K57" i="5"/>
  <c r="L57" i="5"/>
  <c r="M57" i="5"/>
  <c r="N57" i="5"/>
  <c r="O57" i="5"/>
  <c r="P57" i="5"/>
  <c r="Q57" i="5"/>
  <c r="R57" i="5"/>
  <c r="S57" i="5"/>
  <c r="T57" i="5"/>
  <c r="U57" i="5"/>
  <c r="V57" i="5"/>
  <c r="W57" i="5"/>
  <c r="X57" i="5"/>
  <c r="Y57" i="5"/>
  <c r="Z57" i="5"/>
  <c r="AA57" i="5"/>
  <c r="AB57" i="5"/>
  <c r="AC57" i="5"/>
  <c r="AD57" i="5"/>
  <c r="AE57" i="5"/>
  <c r="AF57" i="5"/>
  <c r="AG57" i="5"/>
  <c r="AH57" i="5"/>
  <c r="AI57" i="5"/>
  <c r="AJ57" i="5"/>
  <c r="AK57" i="5"/>
  <c r="AL57" i="5"/>
  <c r="AM57" i="5"/>
  <c r="AN57" i="5"/>
  <c r="AO57" i="5"/>
  <c r="AP57" i="5"/>
  <c r="AQ57" i="5"/>
  <c r="AR57" i="5"/>
  <c r="AS57" i="5"/>
  <c r="AT57" i="5"/>
  <c r="AU57" i="5"/>
  <c r="AV57" i="5"/>
  <c r="AW57" i="5"/>
  <c r="AX57" i="5"/>
  <c r="AY57" i="5"/>
  <c r="AZ57" i="5"/>
  <c r="BA57" i="5"/>
  <c r="BB57" i="5"/>
  <c r="BC57" i="5"/>
  <c r="BD57" i="5"/>
  <c r="BE57" i="5"/>
  <c r="BF57" i="5"/>
  <c r="BG57" i="5"/>
  <c r="BH57" i="5"/>
  <c r="BI57" i="5"/>
  <c r="BJ57" i="5"/>
  <c r="BK57" i="5"/>
  <c r="BL57" i="5"/>
  <c r="BM57" i="5"/>
  <c r="BN57" i="5"/>
  <c r="BO57" i="5"/>
  <c r="AQ120" i="5"/>
  <c r="AV120" i="5"/>
  <c r="AW120" i="5"/>
  <c r="AX120" i="5"/>
  <c r="BG120" i="5"/>
  <c r="AY120" i="5"/>
  <c r="BE120" i="5"/>
  <c r="BF120" i="5"/>
  <c r="BO120" i="5"/>
  <c r="BN120" i="5"/>
  <c r="BK120" i="5"/>
  <c r="BK121" i="5" s="1"/>
  <c r="BK80" i="5" s="1"/>
  <c r="BI120" i="5"/>
  <c r="BC120" i="5"/>
  <c r="BJ120" i="5"/>
  <c r="BB120" i="5"/>
  <c r="BA120" i="5"/>
  <c r="AN120" i="5"/>
  <c r="AO120" i="5"/>
  <c r="AP120" i="5"/>
  <c r="AT120" i="5"/>
  <c r="AZ120" i="5"/>
  <c r="BH120" i="5"/>
  <c r="AU120" i="5"/>
  <c r="AR120" i="5"/>
  <c r="BD120" i="5"/>
  <c r="BM120" i="5"/>
  <c r="BL120" i="5"/>
  <c r="AS120" i="5"/>
  <c r="I58" i="5"/>
  <c r="C58" i="5"/>
  <c r="G58" i="5"/>
  <c r="F58" i="5"/>
  <c r="D58" i="5"/>
  <c r="E58" i="5"/>
  <c r="H58" i="5"/>
  <c r="J58" i="5"/>
  <c r="K58" i="5"/>
  <c r="L58" i="5"/>
  <c r="M58" i="5"/>
  <c r="N58" i="5"/>
  <c r="O58" i="5"/>
  <c r="P58" i="5"/>
  <c r="Q58" i="5"/>
  <c r="R58" i="5"/>
  <c r="S58" i="5"/>
  <c r="T58" i="5"/>
  <c r="U58" i="5"/>
  <c r="V58" i="5"/>
  <c r="W58" i="5"/>
  <c r="X58" i="5"/>
  <c r="Y58" i="5"/>
  <c r="Z58" i="5"/>
  <c r="AA58" i="5"/>
  <c r="AB58" i="5"/>
  <c r="AC58" i="5"/>
  <c r="AD58" i="5"/>
  <c r="AE58" i="5"/>
  <c r="AF58" i="5"/>
  <c r="AG58" i="5"/>
  <c r="AH58" i="5"/>
  <c r="AI58" i="5"/>
  <c r="AJ58" i="5"/>
  <c r="AK58" i="5"/>
  <c r="AL58" i="5"/>
  <c r="AM58" i="5"/>
  <c r="AN58" i="5"/>
  <c r="AO58" i="5"/>
  <c r="AP58" i="5"/>
  <c r="AQ58" i="5"/>
  <c r="AR58" i="5"/>
  <c r="AS58" i="5"/>
  <c r="AT58" i="5"/>
  <c r="AU58" i="5"/>
  <c r="AV58" i="5"/>
  <c r="AW58" i="5"/>
  <c r="AX58" i="5"/>
  <c r="AY58" i="5"/>
  <c r="AZ58" i="5"/>
  <c r="BA58" i="5"/>
  <c r="BB58" i="5"/>
  <c r="BC58" i="5"/>
  <c r="BD58" i="5"/>
  <c r="BE58" i="5"/>
  <c r="BF58" i="5"/>
  <c r="BG58" i="5"/>
  <c r="BH58" i="5"/>
  <c r="BI58" i="5"/>
  <c r="BJ58" i="5"/>
  <c r="BK58" i="5"/>
  <c r="BL58" i="5"/>
  <c r="BM58" i="5"/>
  <c r="BN58" i="5"/>
  <c r="BO58" i="5"/>
  <c r="C298" i="8"/>
  <c r="D316" i="8"/>
  <c r="BL6" i="5"/>
  <c r="AW6" i="5"/>
  <c r="AO6" i="5"/>
  <c r="AA6" i="5"/>
  <c r="L6" i="5"/>
  <c r="BA6" i="5"/>
  <c r="BB6" i="5"/>
  <c r="AK6" i="5"/>
  <c r="AU6" i="5"/>
  <c r="AF6" i="5"/>
  <c r="AQ6" i="5"/>
  <c r="Z6" i="5"/>
  <c r="AV6" i="5"/>
  <c r="BG6" i="5"/>
  <c r="AR6" i="5"/>
  <c r="O6" i="5"/>
  <c r="I6" i="5"/>
  <c r="AI6" i="5"/>
  <c r="T6" i="5"/>
  <c r="BF6" i="5"/>
  <c r="BJ6" i="5"/>
  <c r="AS6" i="5"/>
  <c r="BC6" i="5"/>
  <c r="AN6" i="5"/>
  <c r="BI6" i="5"/>
  <c r="Q6" i="5"/>
  <c r="AB6" i="5"/>
  <c r="BM6" i="5"/>
  <c r="R6" i="5"/>
  <c r="AY6" i="5"/>
  <c r="AJ6" i="5"/>
  <c r="N6" i="5"/>
  <c r="AH6" i="5"/>
  <c r="G6" i="5"/>
  <c r="J6" i="5"/>
  <c r="BD6" i="5"/>
  <c r="Y6" i="5"/>
  <c r="V6" i="5"/>
  <c r="BE6" i="5"/>
  <c r="C6" i="5"/>
  <c r="BO6" i="5"/>
  <c r="AZ6" i="5"/>
  <c r="AD6" i="5"/>
  <c r="M6" i="5"/>
  <c r="W6" i="5"/>
  <c r="H6" i="5"/>
  <c r="AG6" i="5"/>
  <c r="K6" i="5"/>
  <c r="B177" i="8"/>
  <c r="B179" i="8" s="1"/>
  <c r="B109" i="5" s="1"/>
  <c r="D14" i="2" s="1"/>
  <c r="BH6" i="5"/>
  <c r="AL6" i="5"/>
  <c r="U6" i="5"/>
  <c r="AE6" i="5"/>
  <c r="P6" i="5"/>
  <c r="S6" i="5"/>
  <c r="D6" i="5"/>
  <c r="E6" i="5"/>
  <c r="AT6" i="5"/>
  <c r="AC6" i="5"/>
  <c r="AM6" i="5"/>
  <c r="X6" i="5"/>
  <c r="F6" i="5"/>
  <c r="BK6" i="5"/>
  <c r="AP6" i="5"/>
  <c r="AX6" i="5"/>
  <c r="BN6" i="5"/>
  <c r="D60" i="5"/>
  <c r="C60" i="5"/>
  <c r="E60" i="5"/>
  <c r="F60" i="5"/>
  <c r="G60" i="5"/>
  <c r="H60" i="5"/>
  <c r="I60" i="5"/>
  <c r="J60" i="5"/>
  <c r="K60" i="5"/>
  <c r="L60" i="5"/>
  <c r="M60" i="5"/>
  <c r="N60" i="5"/>
  <c r="O60" i="5"/>
  <c r="P60" i="5"/>
  <c r="Q60" i="5"/>
  <c r="R60" i="5"/>
  <c r="S60" i="5"/>
  <c r="T60" i="5"/>
  <c r="U60" i="5"/>
  <c r="V60" i="5"/>
  <c r="W60" i="5"/>
  <c r="X60" i="5"/>
  <c r="Y60" i="5"/>
  <c r="Z60" i="5"/>
  <c r="AA60" i="5"/>
  <c r="AB60" i="5"/>
  <c r="AC60" i="5"/>
  <c r="AD60" i="5"/>
  <c r="AE60" i="5"/>
  <c r="AF60" i="5"/>
  <c r="AG60" i="5"/>
  <c r="AH60" i="5"/>
  <c r="AI60" i="5"/>
  <c r="AJ60" i="5"/>
  <c r="AK60" i="5"/>
  <c r="AL60" i="5"/>
  <c r="AM60" i="5"/>
  <c r="AN60" i="5"/>
  <c r="AO60" i="5"/>
  <c r="AP60" i="5"/>
  <c r="AQ60" i="5"/>
  <c r="AR60" i="5"/>
  <c r="AS60" i="5"/>
  <c r="AT60" i="5"/>
  <c r="AU60" i="5"/>
  <c r="AV60" i="5"/>
  <c r="AW60" i="5"/>
  <c r="AX60" i="5"/>
  <c r="AY60" i="5"/>
  <c r="AZ60" i="5"/>
  <c r="BA60" i="5"/>
  <c r="BB60" i="5"/>
  <c r="BC60" i="5"/>
  <c r="BD60" i="5"/>
  <c r="BE60" i="5"/>
  <c r="BF60" i="5"/>
  <c r="BG60" i="5"/>
  <c r="BH60" i="5"/>
  <c r="BI60" i="5"/>
  <c r="BJ60" i="5"/>
  <c r="BK60" i="5"/>
  <c r="BL60" i="5"/>
  <c r="BM60" i="5"/>
  <c r="BN60" i="5"/>
  <c r="BO60" i="5"/>
  <c r="B299" i="8"/>
  <c r="B300" i="8" s="1"/>
  <c r="B301" i="8" s="1"/>
  <c r="B302" i="8" s="1"/>
  <c r="C304" i="8"/>
  <c r="C317" i="8"/>
  <c r="C318" i="8" s="1"/>
  <c r="C319" i="8" s="1"/>
  <c r="C320" i="8" s="1"/>
  <c r="D322" i="8"/>
  <c r="H53" i="5"/>
  <c r="I53" i="5"/>
  <c r="F53" i="5"/>
  <c r="C53" i="5"/>
  <c r="E53" i="5"/>
  <c r="D53" i="5"/>
  <c r="G53" i="5"/>
  <c r="J53" i="5"/>
  <c r="K53" i="5"/>
  <c r="L53" i="5"/>
  <c r="M53" i="5"/>
  <c r="N53" i="5"/>
  <c r="O53" i="5"/>
  <c r="P53" i="5"/>
  <c r="Q53" i="5"/>
  <c r="R53" i="5"/>
  <c r="S53" i="5"/>
  <c r="T53" i="5"/>
  <c r="U53" i="5"/>
  <c r="V53" i="5"/>
  <c r="W53" i="5"/>
  <c r="X53" i="5"/>
  <c r="Y53" i="5"/>
  <c r="Z53" i="5"/>
  <c r="AA53" i="5"/>
  <c r="AB53" i="5"/>
  <c r="AC53" i="5"/>
  <c r="AD53" i="5"/>
  <c r="AE53" i="5"/>
  <c r="AF53" i="5"/>
  <c r="AG53" i="5"/>
  <c r="AH53" i="5"/>
  <c r="AI53" i="5"/>
  <c r="AJ53" i="5"/>
  <c r="AK53" i="5"/>
  <c r="AL53" i="5"/>
  <c r="AM53" i="5"/>
  <c r="AN53" i="5"/>
  <c r="AO53" i="5"/>
  <c r="AP53" i="5"/>
  <c r="AQ53" i="5"/>
  <c r="AR53" i="5"/>
  <c r="AS53" i="5"/>
  <c r="AT53" i="5"/>
  <c r="AU53" i="5"/>
  <c r="AV53" i="5"/>
  <c r="AW53" i="5"/>
  <c r="AX53" i="5"/>
  <c r="AY53" i="5"/>
  <c r="AZ53" i="5"/>
  <c r="BA53" i="5"/>
  <c r="BB53" i="5"/>
  <c r="BC53" i="5"/>
  <c r="BD53" i="5"/>
  <c r="BE53" i="5"/>
  <c r="BF53" i="5"/>
  <c r="BG53" i="5"/>
  <c r="BH53" i="5"/>
  <c r="BI53" i="5"/>
  <c r="BJ53" i="5"/>
  <c r="BK53" i="5"/>
  <c r="BL53" i="5"/>
  <c r="BM53" i="5"/>
  <c r="BN53" i="5"/>
  <c r="BO53" i="5"/>
  <c r="C299" i="8"/>
  <c r="D304" i="8"/>
  <c r="BD118" i="5"/>
  <c r="AH118" i="5"/>
  <c r="AX118" i="5"/>
  <c r="AU118" i="5"/>
  <c r="AW118" i="5"/>
  <c r="BN118" i="5"/>
  <c r="AT118" i="5"/>
  <c r="BJ118" i="5"/>
  <c r="AN118" i="5"/>
  <c r="BI118" i="5"/>
  <c r="AM118" i="5"/>
  <c r="BE118" i="5"/>
  <c r="AK118" i="5"/>
  <c r="AF118" i="5"/>
  <c r="AI118" i="5"/>
  <c r="AR118" i="5"/>
  <c r="BO118" i="5"/>
  <c r="AP118" i="5"/>
  <c r="AQ118" i="5"/>
  <c r="AZ118" i="5"/>
  <c r="AE118" i="5"/>
  <c r="BB118" i="5"/>
  <c r="AY118" i="5"/>
  <c r="AO118" i="5"/>
  <c r="BL118" i="5"/>
  <c r="BG118" i="5"/>
  <c r="AL118" i="5"/>
  <c r="BA118" i="5"/>
  <c r="BA121" i="5" s="1"/>
  <c r="BA80" i="5" s="1"/>
  <c r="AG118" i="5"/>
  <c r="AV118" i="5"/>
  <c r="BK118" i="5"/>
  <c r="AS118" i="5"/>
  <c r="BF118" i="5"/>
  <c r="BC118" i="5"/>
  <c r="BM118" i="5"/>
  <c r="AJ118" i="5"/>
  <c r="BH118" i="5"/>
  <c r="D317" i="8"/>
  <c r="B323" i="8"/>
  <c r="BC121" i="5" l="1"/>
  <c r="BC80" i="5" s="1"/>
  <c r="BI61" i="5"/>
  <c r="BI78" i="5" s="1"/>
  <c r="BA61" i="5"/>
  <c r="BA78" i="5" s="1"/>
  <c r="BA81" i="5" s="1"/>
  <c r="BA84" i="5" s="1"/>
  <c r="AS61" i="5"/>
  <c r="AS78" i="5" s="1"/>
  <c r="AK61" i="5"/>
  <c r="AK78" i="5" s="1"/>
  <c r="AC61" i="5"/>
  <c r="AC78" i="5" s="1"/>
  <c r="U61" i="5"/>
  <c r="U78" i="5" s="1"/>
  <c r="M61" i="5"/>
  <c r="M78" i="5" s="1"/>
  <c r="BL121" i="5"/>
  <c r="BL80" i="5" s="1"/>
  <c r="BG61" i="5"/>
  <c r="BG78" i="5" s="1"/>
  <c r="AY61" i="5"/>
  <c r="AY78" i="5" s="1"/>
  <c r="K61" i="5"/>
  <c r="K78" i="5" s="1"/>
  <c r="S61" i="5"/>
  <c r="S78" i="5" s="1"/>
  <c r="D61" i="5"/>
  <c r="D78" i="5" s="1"/>
  <c r="AI61" i="5"/>
  <c r="AI78" i="5" s="1"/>
  <c r="AQ61" i="5"/>
  <c r="AQ78" i="5" s="1"/>
  <c r="AA61" i="5"/>
  <c r="AA78" i="5" s="1"/>
  <c r="AY121" i="4"/>
  <c r="AY80" i="4" s="1"/>
  <c r="AY81" i="4" s="1"/>
  <c r="AR121" i="4"/>
  <c r="AR80" i="4" s="1"/>
  <c r="AR81" i="4" s="1"/>
  <c r="AR84" i="4" s="1"/>
  <c r="BF121" i="4"/>
  <c r="BF80" i="4" s="1"/>
  <c r="BF81" i="4" s="1"/>
  <c r="BF84" i="4" s="1"/>
  <c r="BK84" i="4"/>
  <c r="AU84" i="4"/>
  <c r="BH121" i="5"/>
  <c r="BH80" i="5" s="1"/>
  <c r="K118" i="4"/>
  <c r="E118" i="4"/>
  <c r="F118" i="4"/>
  <c r="D118" i="4"/>
  <c r="H118" i="4"/>
  <c r="J118" i="4"/>
  <c r="M118" i="4"/>
  <c r="G118" i="4"/>
  <c r="L118" i="4"/>
  <c r="C118" i="4"/>
  <c r="I118" i="4"/>
  <c r="BI81" i="5"/>
  <c r="BI84" i="5" s="1"/>
  <c r="C61" i="5"/>
  <c r="B53" i="5"/>
  <c r="S119" i="5"/>
  <c r="Y119" i="5"/>
  <c r="O119" i="5"/>
  <c r="K119" i="5"/>
  <c r="D119" i="5"/>
  <c r="R119" i="5"/>
  <c r="I119" i="5"/>
  <c r="T119" i="5"/>
  <c r="Z119" i="5"/>
  <c r="P119" i="5"/>
  <c r="G119" i="5"/>
  <c r="L119" i="5"/>
  <c r="AA119" i="5"/>
  <c r="Q119" i="5"/>
  <c r="H119" i="5"/>
  <c r="C119" i="5"/>
  <c r="J119" i="5"/>
  <c r="U119" i="5"/>
  <c r="W119" i="5"/>
  <c r="V119" i="5"/>
  <c r="N119" i="5"/>
  <c r="M119" i="5"/>
  <c r="E119" i="5"/>
  <c r="X119" i="5"/>
  <c r="F119" i="5"/>
  <c r="E61" i="5"/>
  <c r="E78" i="5" s="1"/>
  <c r="BH61" i="5"/>
  <c r="BH78" i="5" s="1"/>
  <c r="AZ61" i="5"/>
  <c r="AZ78" i="5" s="1"/>
  <c r="AR61" i="5"/>
  <c r="AR78" i="5" s="1"/>
  <c r="AJ61" i="5"/>
  <c r="AJ78" i="5" s="1"/>
  <c r="AB61" i="5"/>
  <c r="AB78" i="5" s="1"/>
  <c r="T61" i="5"/>
  <c r="T78" i="5" s="1"/>
  <c r="L61" i="5"/>
  <c r="L78" i="5" s="1"/>
  <c r="B60" i="5"/>
  <c r="AZ121" i="5"/>
  <c r="AZ80" i="5" s="1"/>
  <c r="BI121" i="5"/>
  <c r="BI80" i="5" s="1"/>
  <c r="B57" i="5"/>
  <c r="BD121" i="4"/>
  <c r="BD80" i="4" s="1"/>
  <c r="BD81" i="4" s="1"/>
  <c r="BD84" i="4" s="1"/>
  <c r="AV121" i="4"/>
  <c r="AV80" i="4" s="1"/>
  <c r="AV81" i="4" s="1"/>
  <c r="AV84" i="4" s="1"/>
  <c r="BC121" i="4"/>
  <c r="BC80" i="4" s="1"/>
  <c r="BC81" i="4" s="1"/>
  <c r="BC84" i="4" s="1"/>
  <c r="B303" i="8"/>
  <c r="B306" i="8" s="1"/>
  <c r="T118" i="4" s="1"/>
  <c r="BI84" i="4"/>
  <c r="B59" i="5"/>
  <c r="BN121" i="4"/>
  <c r="BN80" i="4" s="1"/>
  <c r="BN81" i="4" s="1"/>
  <c r="BN84" i="4" s="1"/>
  <c r="B54" i="5"/>
  <c r="BH121" i="4"/>
  <c r="BH80" i="4" s="1"/>
  <c r="BH81" i="4" s="1"/>
  <c r="BH84" i="4" s="1"/>
  <c r="BM84" i="4"/>
  <c r="B318" i="8"/>
  <c r="B319" i="8"/>
  <c r="AX61" i="5"/>
  <c r="AX78" i="5" s="1"/>
  <c r="R61" i="5"/>
  <c r="R78" i="5" s="1"/>
  <c r="B56" i="5"/>
  <c r="Q61" i="5"/>
  <c r="Q78" i="5" s="1"/>
  <c r="AY84" i="4"/>
  <c r="BE61" i="5"/>
  <c r="BE78" i="5" s="1"/>
  <c r="AW61" i="5"/>
  <c r="AW78" i="5" s="1"/>
  <c r="AG61" i="5"/>
  <c r="AG78" i="5" s="1"/>
  <c r="I61" i="5"/>
  <c r="I78" i="5" s="1"/>
  <c r="BJ121" i="4"/>
  <c r="BJ80" i="4" s="1"/>
  <c r="BJ81" i="4" s="1"/>
  <c r="BJ84" i="4" s="1"/>
  <c r="BO61" i="5"/>
  <c r="BO78" i="5" s="1"/>
  <c r="H61" i="5"/>
  <c r="H78" i="5" s="1"/>
  <c r="BL61" i="5"/>
  <c r="BL78" i="5" s="1"/>
  <c r="BL81" i="5" s="1"/>
  <c r="BL84" i="5" s="1"/>
  <c r="BD61" i="5"/>
  <c r="BD78" i="5" s="1"/>
  <c r="AV61" i="5"/>
  <c r="AV78" i="5" s="1"/>
  <c r="AN61" i="5"/>
  <c r="AN78" i="5" s="1"/>
  <c r="AF61" i="5"/>
  <c r="AF78" i="5" s="1"/>
  <c r="X61" i="5"/>
  <c r="X78" i="5" s="1"/>
  <c r="P61" i="5"/>
  <c r="P78" i="5" s="1"/>
  <c r="D318" i="8"/>
  <c r="D319" i="8"/>
  <c r="C324" i="8"/>
  <c r="AD119" i="5" s="1"/>
  <c r="BB121" i="4"/>
  <c r="BB80" i="4" s="1"/>
  <c r="BB81" i="4" s="1"/>
  <c r="BB84" i="4" s="1"/>
  <c r="B55" i="5"/>
  <c r="BN61" i="5"/>
  <c r="BN78" i="5" s="1"/>
  <c r="AH61" i="5"/>
  <c r="AH78" i="5" s="1"/>
  <c r="BF121" i="5"/>
  <c r="BF80" i="5" s="1"/>
  <c r="BM61" i="5"/>
  <c r="BM78" i="5" s="1"/>
  <c r="AO61" i="5"/>
  <c r="AO78" i="5" s="1"/>
  <c r="Y61" i="5"/>
  <c r="Y78" i="5" s="1"/>
  <c r="BG121" i="5"/>
  <c r="BG80" i="5" s="1"/>
  <c r="BG81" i="5" s="1"/>
  <c r="BG84" i="5" s="1"/>
  <c r="BO121" i="5"/>
  <c r="BO80" i="5" s="1"/>
  <c r="BK61" i="5"/>
  <c r="BK78" i="5" s="1"/>
  <c r="BK81" i="5" s="1"/>
  <c r="BK84" i="5" s="1"/>
  <c r="BC61" i="5"/>
  <c r="BC78" i="5" s="1"/>
  <c r="BC81" i="5" s="1"/>
  <c r="BC84" i="5" s="1"/>
  <c r="AU61" i="5"/>
  <c r="AU78" i="5" s="1"/>
  <c r="AM61" i="5"/>
  <c r="AM78" i="5" s="1"/>
  <c r="AE61" i="5"/>
  <c r="AE78" i="5" s="1"/>
  <c r="W61" i="5"/>
  <c r="W78" i="5" s="1"/>
  <c r="O61" i="5"/>
  <c r="O78" i="5" s="1"/>
  <c r="C300" i="8"/>
  <c r="C301" i="8" s="1"/>
  <c r="BM121" i="5"/>
  <c r="BM80" i="5" s="1"/>
  <c r="BB121" i="5"/>
  <c r="BB80" i="5" s="1"/>
  <c r="BJ121" i="5"/>
  <c r="BJ80" i="5" s="1"/>
  <c r="BL121" i="4"/>
  <c r="BL80" i="4" s="1"/>
  <c r="BL81" i="4" s="1"/>
  <c r="BL84" i="4" s="1"/>
  <c r="AS121" i="4"/>
  <c r="AS80" i="4" s="1"/>
  <c r="AS81" i="4" s="1"/>
  <c r="AS84" i="4" s="1"/>
  <c r="D300" i="8"/>
  <c r="D301" i="8" s="1"/>
  <c r="F61" i="5"/>
  <c r="F78" i="5" s="1"/>
  <c r="BF61" i="5"/>
  <c r="BF78" i="5" s="1"/>
  <c r="BF81" i="5" s="1"/>
  <c r="BF84" i="5" s="1"/>
  <c r="AP61" i="5"/>
  <c r="AP78" i="5" s="1"/>
  <c r="Z61" i="5"/>
  <c r="Z78" i="5" s="1"/>
  <c r="J61" i="5"/>
  <c r="J78" i="5" s="1"/>
  <c r="BE121" i="5"/>
  <c r="BE80" i="5" s="1"/>
  <c r="AZ121" i="4"/>
  <c r="AZ80" i="4" s="1"/>
  <c r="AZ81" i="4" s="1"/>
  <c r="AZ84" i="4" s="1"/>
  <c r="G61" i="5"/>
  <c r="G78" i="5" s="1"/>
  <c r="BJ61" i="5"/>
  <c r="BJ78" i="5" s="1"/>
  <c r="BJ81" i="5" s="1"/>
  <c r="BJ84" i="5" s="1"/>
  <c r="BB61" i="5"/>
  <c r="BB78" i="5" s="1"/>
  <c r="AT61" i="5"/>
  <c r="AT78" i="5" s="1"/>
  <c r="AL61" i="5"/>
  <c r="AL78" i="5" s="1"/>
  <c r="AD61" i="5"/>
  <c r="AD78" i="5" s="1"/>
  <c r="V61" i="5"/>
  <c r="V78" i="5" s="1"/>
  <c r="N61" i="5"/>
  <c r="N78" i="5" s="1"/>
  <c r="B58" i="5"/>
  <c r="BD121" i="5"/>
  <c r="BD80" i="5" s="1"/>
  <c r="BN121" i="5"/>
  <c r="BN80" i="5" s="1"/>
  <c r="AW121" i="4"/>
  <c r="AW80" i="4" s="1"/>
  <c r="AW81" i="4" s="1"/>
  <c r="AW84" i="4" s="1"/>
  <c r="C321" i="8"/>
  <c r="BE121" i="4"/>
  <c r="BE80" i="4" s="1"/>
  <c r="BE81" i="4" s="1"/>
  <c r="BE84" i="4" s="1"/>
  <c r="BO121" i="4"/>
  <c r="BO80" i="4" s="1"/>
  <c r="BO81" i="4" s="1"/>
  <c r="BO84" i="4" s="1"/>
  <c r="AT121" i="4"/>
  <c r="AT80" i="4" s="1"/>
  <c r="AT81" i="4" s="1"/>
  <c r="AT84" i="4" s="1"/>
  <c r="BN81" i="5" l="1"/>
  <c r="BN84" i="5" s="1"/>
  <c r="BH81" i="5"/>
  <c r="BH84" i="5" s="1"/>
  <c r="D302" i="8"/>
  <c r="D303" i="8"/>
  <c r="D306" i="8" s="1"/>
  <c r="D320" i="8"/>
  <c r="D321" i="8"/>
  <c r="D324" i="8" s="1"/>
  <c r="AG119" i="5"/>
  <c r="AU119" i="5"/>
  <c r="AU121" i="5" s="1"/>
  <c r="AU80" i="5" s="1"/>
  <c r="AU81" i="5" s="1"/>
  <c r="AU84" i="5" s="1"/>
  <c r="N118" i="4"/>
  <c r="AQ119" i="5"/>
  <c r="AQ121" i="5" s="1"/>
  <c r="AQ80" i="5" s="1"/>
  <c r="AQ81" i="5" s="1"/>
  <c r="AQ84" i="5" s="1"/>
  <c r="AJ119" i="5"/>
  <c r="AN119" i="5"/>
  <c r="AN121" i="5" s="1"/>
  <c r="AN80" i="5" s="1"/>
  <c r="AN81" i="5" s="1"/>
  <c r="AN84" i="5" s="1"/>
  <c r="W118" i="4"/>
  <c r="BB81" i="5"/>
  <c r="BB84" i="5" s="1"/>
  <c r="BO81" i="5"/>
  <c r="BO84" i="5" s="1"/>
  <c r="AZ81" i="5"/>
  <c r="AZ84" i="5" s="1"/>
  <c r="AC119" i="5"/>
  <c r="AV119" i="5"/>
  <c r="AV121" i="5" s="1"/>
  <c r="AV80" i="5" s="1"/>
  <c r="AB119" i="5"/>
  <c r="AX119" i="5"/>
  <c r="AX121" i="5" s="1"/>
  <c r="AX80" i="5" s="1"/>
  <c r="C78" i="5"/>
  <c r="B61" i="5"/>
  <c r="B92" i="5" s="1"/>
  <c r="O118" i="4"/>
  <c r="AX81" i="5"/>
  <c r="AX84" i="5" s="1"/>
  <c r="AE119" i="5"/>
  <c r="AL119" i="5"/>
  <c r="B320" i="8"/>
  <c r="B321" i="8"/>
  <c r="B324" i="8" s="1"/>
  <c r="P118" i="4"/>
  <c r="C302" i="8"/>
  <c r="C303" i="8"/>
  <c r="C306" i="8" s="1"/>
  <c r="BM81" i="5"/>
  <c r="BM84" i="5" s="1"/>
  <c r="BE81" i="5"/>
  <c r="BE84" i="5" s="1"/>
  <c r="AR119" i="5"/>
  <c r="AR121" i="5" s="1"/>
  <c r="AR80" i="5" s="1"/>
  <c r="AR81" i="5" s="1"/>
  <c r="AR84" i="5" s="1"/>
  <c r="AP119" i="5"/>
  <c r="AP121" i="5" s="1"/>
  <c r="AP80" i="5" s="1"/>
  <c r="AO119" i="5"/>
  <c r="AO121" i="5" s="1"/>
  <c r="AO80" i="5" s="1"/>
  <c r="AO81" i="5" s="1"/>
  <c r="AO84" i="5" s="1"/>
  <c r="AK119" i="5"/>
  <c r="AI119" i="5"/>
  <c r="X118" i="4"/>
  <c r="S118" i="4"/>
  <c r="AW119" i="5"/>
  <c r="AW121" i="5" s="1"/>
  <c r="AW80" i="5" s="1"/>
  <c r="AV81" i="5"/>
  <c r="AV84" i="5" s="1"/>
  <c r="AT119" i="5"/>
  <c r="AT121" i="5" s="1"/>
  <c r="AT80" i="5" s="1"/>
  <c r="AT81" i="5" s="1"/>
  <c r="AT84" i="5" s="1"/>
  <c r="U118" i="4"/>
  <c r="AW81" i="5"/>
  <c r="AW84" i="5" s="1"/>
  <c r="AH119" i="5"/>
  <c r="AF119" i="5"/>
  <c r="AY119" i="5"/>
  <c r="AY121" i="5" s="1"/>
  <c r="AY80" i="5" s="1"/>
  <c r="AY81" i="5" s="1"/>
  <c r="AY84" i="5" s="1"/>
  <c r="AS119" i="5"/>
  <c r="AS121" i="5" s="1"/>
  <c r="AS80" i="5" s="1"/>
  <c r="AS81" i="5" s="1"/>
  <c r="AS84" i="5" s="1"/>
  <c r="Q118" i="4"/>
  <c r="V118" i="4"/>
  <c r="AM119" i="5"/>
  <c r="R118" i="4"/>
  <c r="AP81" i="5"/>
  <c r="AP84" i="5" s="1"/>
  <c r="BD81" i="5"/>
  <c r="BD84" i="5" s="1"/>
  <c r="B118" i="4" l="1"/>
  <c r="AH119" i="4"/>
  <c r="D119" i="4"/>
  <c r="AE119" i="4"/>
  <c r="AK119" i="4"/>
  <c r="AI119" i="4"/>
  <c r="U119" i="4"/>
  <c r="Q119" i="4"/>
  <c r="F119" i="4"/>
  <c r="AD119" i="4"/>
  <c r="O119" i="4"/>
  <c r="J119" i="4"/>
  <c r="W119" i="4"/>
  <c r="H119" i="4"/>
  <c r="P119" i="4"/>
  <c r="AJ119" i="4"/>
  <c r="N119" i="4"/>
  <c r="I119" i="4"/>
  <c r="AB119" i="4"/>
  <c r="AL119" i="4"/>
  <c r="C119" i="4"/>
  <c r="R119" i="4"/>
  <c r="R121" i="4" s="1"/>
  <c r="R80" i="4" s="1"/>
  <c r="R81" i="4" s="1"/>
  <c r="R84" i="4" s="1"/>
  <c r="AG119" i="4"/>
  <c r="AM119" i="4"/>
  <c r="S119" i="4"/>
  <c r="M119" i="4"/>
  <c r="Y119" i="4"/>
  <c r="Z119" i="4"/>
  <c r="AC119" i="4"/>
  <c r="X119" i="4"/>
  <c r="K119" i="4"/>
  <c r="T119" i="4"/>
  <c r="AN119" i="4"/>
  <c r="L119" i="4"/>
  <c r="AA119" i="4"/>
  <c r="G119" i="4"/>
  <c r="V119" i="4"/>
  <c r="V121" i="4" s="1"/>
  <c r="V80" i="4" s="1"/>
  <c r="V81" i="4" s="1"/>
  <c r="V84" i="4" s="1"/>
  <c r="E119" i="4"/>
  <c r="AF119" i="4"/>
  <c r="B119" i="5"/>
  <c r="AD120" i="5"/>
  <c r="Y120" i="5"/>
  <c r="T120" i="5"/>
  <c r="AL120" i="5"/>
  <c r="AL121" i="5" s="1"/>
  <c r="AL80" i="5" s="1"/>
  <c r="AL81" i="5" s="1"/>
  <c r="AL84" i="5" s="1"/>
  <c r="F120" i="5"/>
  <c r="AB120" i="5"/>
  <c r="AB121" i="5" s="1"/>
  <c r="AB80" i="5" s="1"/>
  <c r="AB81" i="5" s="1"/>
  <c r="AB84" i="5" s="1"/>
  <c r="R120" i="5"/>
  <c r="AM120" i="5"/>
  <c r="AM121" i="5" s="1"/>
  <c r="AM80" i="5" s="1"/>
  <c r="AM81" i="5" s="1"/>
  <c r="AM84" i="5" s="1"/>
  <c r="AE120" i="5"/>
  <c r="AE121" i="5" s="1"/>
  <c r="AE80" i="5" s="1"/>
  <c r="AE81" i="5" s="1"/>
  <c r="Q120" i="5"/>
  <c r="Z120" i="5"/>
  <c r="AA120" i="5"/>
  <c r="AJ120" i="5"/>
  <c r="AJ121" i="5" s="1"/>
  <c r="AJ80" i="5" s="1"/>
  <c r="AJ81" i="5" s="1"/>
  <c r="AJ84" i="5" s="1"/>
  <c r="H120" i="5"/>
  <c r="H121" i="5" s="1"/>
  <c r="H80" i="5" s="1"/>
  <c r="H81" i="5" s="1"/>
  <c r="H84" i="5" s="1"/>
  <c r="W120" i="5"/>
  <c r="N120" i="5"/>
  <c r="O120" i="5"/>
  <c r="I120" i="5"/>
  <c r="AG120" i="5"/>
  <c r="AG121" i="5" s="1"/>
  <c r="AG80" i="5" s="1"/>
  <c r="AG81" i="5" s="1"/>
  <c r="AG84" i="5" s="1"/>
  <c r="AK120" i="5"/>
  <c r="AK121" i="5" s="1"/>
  <c r="AK80" i="5" s="1"/>
  <c r="AK81" i="5" s="1"/>
  <c r="AK84" i="5" s="1"/>
  <c r="J120" i="5"/>
  <c r="AF120" i="5"/>
  <c r="AF121" i="5" s="1"/>
  <c r="AF80" i="5" s="1"/>
  <c r="AF81" i="5" s="1"/>
  <c r="AF84" i="5" s="1"/>
  <c r="U120" i="5"/>
  <c r="K120" i="5"/>
  <c r="S120" i="5"/>
  <c r="M120" i="5"/>
  <c r="AH120" i="5"/>
  <c r="AH121" i="5" s="1"/>
  <c r="AH80" i="5" s="1"/>
  <c r="AH81" i="5" s="1"/>
  <c r="AH84" i="5" s="1"/>
  <c r="C120" i="5"/>
  <c r="D120" i="5"/>
  <c r="V120" i="5"/>
  <c r="G120" i="5"/>
  <c r="X120" i="5"/>
  <c r="AC120" i="5"/>
  <c r="P120" i="5"/>
  <c r="E120" i="5"/>
  <c r="AI120" i="5"/>
  <c r="AI121" i="5" s="1"/>
  <c r="AI80" i="5" s="1"/>
  <c r="AI81" i="5" s="1"/>
  <c r="AI84" i="5" s="1"/>
  <c r="L120" i="5"/>
  <c r="D92" i="5"/>
  <c r="E92" i="5"/>
  <c r="B78" i="5"/>
  <c r="X118" i="5"/>
  <c r="M118" i="5"/>
  <c r="T118" i="5"/>
  <c r="U118" i="5"/>
  <c r="F118" i="5"/>
  <c r="C118" i="5"/>
  <c r="AA118" i="5"/>
  <c r="Y118" i="5"/>
  <c r="O118" i="5"/>
  <c r="I118" i="5"/>
  <c r="S118" i="5"/>
  <c r="S121" i="5" s="1"/>
  <c r="S80" i="5" s="1"/>
  <c r="S81" i="5" s="1"/>
  <c r="S84" i="5" s="1"/>
  <c r="N118" i="5"/>
  <c r="E118" i="5"/>
  <c r="J118" i="5"/>
  <c r="Z118" i="5"/>
  <c r="AC118" i="5"/>
  <c r="Q118" i="5"/>
  <c r="W118" i="5"/>
  <c r="AD118" i="5"/>
  <c r="R118" i="5"/>
  <c r="K118" i="5"/>
  <c r="K121" i="5" s="1"/>
  <c r="K80" i="5" s="1"/>
  <c r="K81" i="5" s="1"/>
  <c r="K84" i="5" s="1"/>
  <c r="P118" i="5"/>
  <c r="P121" i="5" s="1"/>
  <c r="P80" i="5" s="1"/>
  <c r="P81" i="5" s="1"/>
  <c r="P84" i="5" s="1"/>
  <c r="D118" i="5"/>
  <c r="D121" i="5" s="1"/>
  <c r="D80" i="5" s="1"/>
  <c r="D81" i="5" s="1"/>
  <c r="D84" i="5" s="1"/>
  <c r="G118" i="5"/>
  <c r="L118" i="5"/>
  <c r="H118" i="5"/>
  <c r="V118" i="5"/>
  <c r="AB118" i="5"/>
  <c r="J120" i="4"/>
  <c r="AC120" i="4"/>
  <c r="AK120" i="4"/>
  <c r="R120" i="4"/>
  <c r="T120" i="4"/>
  <c r="G120" i="4"/>
  <c r="AH120" i="4"/>
  <c r="O120" i="4"/>
  <c r="N120" i="4"/>
  <c r="N121" i="4" s="1"/>
  <c r="N80" i="4" s="1"/>
  <c r="N81" i="4" s="1"/>
  <c r="N84" i="4" s="1"/>
  <c r="H120" i="4"/>
  <c r="AD120" i="4"/>
  <c r="AN120" i="4"/>
  <c r="AE120" i="4"/>
  <c r="M120" i="4"/>
  <c r="AB120" i="4"/>
  <c r="Z120" i="4"/>
  <c r="W120" i="4"/>
  <c r="P120" i="4"/>
  <c r="AP120" i="4"/>
  <c r="AP121" i="4" s="1"/>
  <c r="AP80" i="4" s="1"/>
  <c r="AP81" i="4" s="1"/>
  <c r="AP84" i="4" s="1"/>
  <c r="Q120" i="4"/>
  <c r="S120" i="4"/>
  <c r="L120" i="4"/>
  <c r="E120" i="4"/>
  <c r="I120" i="4"/>
  <c r="AL120" i="4"/>
  <c r="AG120" i="4"/>
  <c r="U120" i="4"/>
  <c r="AO120" i="4"/>
  <c r="AO121" i="4" s="1"/>
  <c r="AO80" i="4" s="1"/>
  <c r="AO81" i="4" s="1"/>
  <c r="AO84" i="4" s="1"/>
  <c r="K120" i="4"/>
  <c r="AA120" i="4"/>
  <c r="AI120" i="4"/>
  <c r="F120" i="4"/>
  <c r="Y120" i="4"/>
  <c r="AF120" i="4"/>
  <c r="X120" i="4"/>
  <c r="V120" i="4"/>
  <c r="AM120" i="4"/>
  <c r="D120" i="4"/>
  <c r="C120" i="4"/>
  <c r="AQ120" i="4"/>
  <c r="AQ121" i="4" s="1"/>
  <c r="AQ80" i="4" s="1"/>
  <c r="AQ81" i="4" s="1"/>
  <c r="AQ84" i="4" s="1"/>
  <c r="AJ120" i="4"/>
  <c r="U121" i="5" l="1"/>
  <c r="U80" i="5" s="1"/>
  <c r="U81" i="5" s="1"/>
  <c r="U84" i="5" s="1"/>
  <c r="M121" i="5"/>
  <c r="M80" i="5" s="1"/>
  <c r="M81" i="5" s="1"/>
  <c r="M84" i="5" s="1"/>
  <c r="K121" i="4"/>
  <c r="K80" i="4" s="1"/>
  <c r="K81" i="4" s="1"/>
  <c r="K84" i="4" s="1"/>
  <c r="AE121" i="4"/>
  <c r="AE80" i="4" s="1"/>
  <c r="AE81" i="4" s="1"/>
  <c r="AE84" i="4" s="1"/>
  <c r="E121" i="4"/>
  <c r="E80" i="4" s="1"/>
  <c r="E81" i="4" s="1"/>
  <c r="E84" i="4" s="1"/>
  <c r="AI121" i="4"/>
  <c r="AI80" i="4" s="1"/>
  <c r="AI81" i="4" s="1"/>
  <c r="AI84" i="4" s="1"/>
  <c r="O121" i="4"/>
  <c r="O80" i="4" s="1"/>
  <c r="O81" i="4" s="1"/>
  <c r="O84" i="4" s="1"/>
  <c r="X121" i="4"/>
  <c r="X80" i="4" s="1"/>
  <c r="X81" i="4" s="1"/>
  <c r="X84" i="4" s="1"/>
  <c r="U121" i="4"/>
  <c r="U80" i="4" s="1"/>
  <c r="U81" i="4" s="1"/>
  <c r="U84" i="4" s="1"/>
  <c r="G121" i="4"/>
  <c r="G80" i="4" s="1"/>
  <c r="G81" i="4" s="1"/>
  <c r="G84" i="4" s="1"/>
  <c r="L121" i="5"/>
  <c r="L80" i="5" s="1"/>
  <c r="L81" i="5" s="1"/>
  <c r="L84" i="5" s="1"/>
  <c r="G121" i="5"/>
  <c r="G80" i="5" s="1"/>
  <c r="G81" i="5" s="1"/>
  <c r="G84" i="5" s="1"/>
  <c r="R121" i="5"/>
  <c r="R80" i="5" s="1"/>
  <c r="R81" i="5" s="1"/>
  <c r="R84" i="5" s="1"/>
  <c r="T121" i="4"/>
  <c r="T80" i="4" s="1"/>
  <c r="T81" i="4" s="1"/>
  <c r="T84" i="4" s="1"/>
  <c r="AM121" i="4"/>
  <c r="AM80" i="4" s="1"/>
  <c r="AM81" i="4" s="1"/>
  <c r="AM84" i="4" s="1"/>
  <c r="AJ121" i="4"/>
  <c r="AJ80" i="4" s="1"/>
  <c r="AJ81" i="4" s="1"/>
  <c r="AJ84" i="4" s="1"/>
  <c r="Q121" i="4"/>
  <c r="Q80" i="4" s="1"/>
  <c r="Q81" i="4" s="1"/>
  <c r="Q84" i="4" s="1"/>
  <c r="AF121" i="4"/>
  <c r="AF80" i="4" s="1"/>
  <c r="AF81" i="4" s="1"/>
  <c r="AF84" i="4" s="1"/>
  <c r="AG121" i="4"/>
  <c r="AG80" i="4" s="1"/>
  <c r="AG81" i="4" s="1"/>
  <c r="AG84" i="4" s="1"/>
  <c r="P121" i="4"/>
  <c r="P80" i="4" s="1"/>
  <c r="P81" i="4" s="1"/>
  <c r="P84" i="4" s="1"/>
  <c r="J121" i="5"/>
  <c r="J80" i="5" s="1"/>
  <c r="J81" i="5" s="1"/>
  <c r="J84" i="5" s="1"/>
  <c r="F121" i="5"/>
  <c r="F80" i="5" s="1"/>
  <c r="F81" i="5" s="1"/>
  <c r="F84" i="5" s="1"/>
  <c r="H121" i="4"/>
  <c r="H80" i="4" s="1"/>
  <c r="H81" i="4" s="1"/>
  <c r="H84" i="4" s="1"/>
  <c r="AC121" i="4"/>
  <c r="AC80" i="4" s="1"/>
  <c r="AC81" i="4" s="1"/>
  <c r="AC84" i="4" s="1"/>
  <c r="B119" i="4"/>
  <c r="C121" i="4"/>
  <c r="W121" i="4"/>
  <c r="W80" i="4" s="1"/>
  <c r="W81" i="4" s="1"/>
  <c r="W84" i="4" s="1"/>
  <c r="AK121" i="4"/>
  <c r="AK80" i="4" s="1"/>
  <c r="AK81" i="4" s="1"/>
  <c r="AK84" i="4" s="1"/>
  <c r="Z121" i="5"/>
  <c r="Z80" i="5" s="1"/>
  <c r="Z81" i="5" s="1"/>
  <c r="Z84" i="5" s="1"/>
  <c r="Z121" i="4"/>
  <c r="Z80" i="4" s="1"/>
  <c r="Z81" i="4" s="1"/>
  <c r="Z84" i="4" s="1"/>
  <c r="J121" i="4"/>
  <c r="J80" i="4" s="1"/>
  <c r="J81" i="4" s="1"/>
  <c r="J84" i="4" s="1"/>
  <c r="AA121" i="5"/>
  <c r="AA80" i="5" s="1"/>
  <c r="AA81" i="5" s="1"/>
  <c r="AA84" i="5" s="1"/>
  <c r="E121" i="5"/>
  <c r="E80" i="5" s="1"/>
  <c r="E81" i="5" s="1"/>
  <c r="E84" i="5" s="1"/>
  <c r="B120" i="4"/>
  <c r="Q121" i="5"/>
  <c r="Q80" i="5" s="1"/>
  <c r="Q81" i="5" s="1"/>
  <c r="Q84" i="5" s="1"/>
  <c r="Y121" i="5"/>
  <c r="Y80" i="5" s="1"/>
  <c r="Y81" i="5" s="1"/>
  <c r="Y84" i="5" s="1"/>
  <c r="AA121" i="4"/>
  <c r="AA80" i="4" s="1"/>
  <c r="AA81" i="4" s="1"/>
  <c r="AA84" i="4" s="1"/>
  <c r="Y121" i="4"/>
  <c r="Y80" i="4" s="1"/>
  <c r="Y81" i="4" s="1"/>
  <c r="Y84" i="4" s="1"/>
  <c r="AB121" i="4"/>
  <c r="AB80" i="4" s="1"/>
  <c r="AB81" i="4" s="1"/>
  <c r="AB84" i="4" s="1"/>
  <c r="D121" i="4"/>
  <c r="D80" i="4" s="1"/>
  <c r="D81" i="4" s="1"/>
  <c r="D84" i="4" s="1"/>
  <c r="V121" i="5"/>
  <c r="V80" i="5" s="1"/>
  <c r="V81" i="5" s="1"/>
  <c r="V84" i="5" s="1"/>
  <c r="T121" i="5"/>
  <c r="T80" i="5" s="1"/>
  <c r="T81" i="5" s="1"/>
  <c r="T84" i="5" s="1"/>
  <c r="AC121" i="5"/>
  <c r="AC80" i="5" s="1"/>
  <c r="AC81" i="5" s="1"/>
  <c r="AC84" i="5" s="1"/>
  <c r="O121" i="5"/>
  <c r="O80" i="5" s="1"/>
  <c r="O81" i="5" s="1"/>
  <c r="O84" i="5" s="1"/>
  <c r="AE84" i="5"/>
  <c r="AD121" i="5"/>
  <c r="AD80" i="5" s="1"/>
  <c r="AD81" i="5" s="1"/>
  <c r="AD84" i="5" s="1"/>
  <c r="L121" i="4"/>
  <c r="L80" i="4" s="1"/>
  <c r="L81" i="4" s="1"/>
  <c r="L84" i="4" s="1"/>
  <c r="M121" i="4"/>
  <c r="M80" i="4" s="1"/>
  <c r="M81" i="4" s="1"/>
  <c r="M84" i="4" s="1"/>
  <c r="I121" i="4"/>
  <c r="I80" i="4" s="1"/>
  <c r="I81" i="4" s="1"/>
  <c r="I84" i="4" s="1"/>
  <c r="AD121" i="4"/>
  <c r="AD80" i="4" s="1"/>
  <c r="AD81" i="4" s="1"/>
  <c r="AD84" i="4" s="1"/>
  <c r="AH121" i="4"/>
  <c r="AH80" i="4" s="1"/>
  <c r="AH81" i="4" s="1"/>
  <c r="AH84" i="4" s="1"/>
  <c r="B118" i="5"/>
  <c r="C121" i="5"/>
  <c r="B120" i="5"/>
  <c r="AL121" i="4"/>
  <c r="AL80" i="4" s="1"/>
  <c r="AL81" i="4" s="1"/>
  <c r="AL84" i="4" s="1"/>
  <c r="W121" i="5"/>
  <c r="W80" i="5" s="1"/>
  <c r="W81" i="5" s="1"/>
  <c r="W84" i="5" s="1"/>
  <c r="I121" i="5"/>
  <c r="I80" i="5" s="1"/>
  <c r="I81" i="5" s="1"/>
  <c r="I84" i="5" s="1"/>
  <c r="X121" i="5"/>
  <c r="X80" i="5" s="1"/>
  <c r="X81" i="5" s="1"/>
  <c r="X84" i="5" s="1"/>
  <c r="N121" i="5"/>
  <c r="N80" i="5" s="1"/>
  <c r="N81" i="5" s="1"/>
  <c r="N84" i="5" s="1"/>
  <c r="AN121" i="4"/>
  <c r="AN80" i="4" s="1"/>
  <c r="AN81" i="4" s="1"/>
  <c r="AN84" i="4" s="1"/>
  <c r="S121" i="4"/>
  <c r="S80" i="4" s="1"/>
  <c r="S81" i="4" s="1"/>
  <c r="S84" i="4" s="1"/>
  <c r="F121" i="4"/>
  <c r="F80" i="4" s="1"/>
  <c r="F81" i="4" s="1"/>
  <c r="F84" i="4" s="1"/>
  <c r="B121" i="4" l="1"/>
  <c r="C80" i="4"/>
  <c r="C80" i="5"/>
  <c r="B121" i="5"/>
  <c r="B80" i="4" l="1"/>
  <c r="B95" i="4" s="1"/>
  <c r="C81" i="4"/>
  <c r="B80" i="5"/>
  <c r="B95" i="5" s="1"/>
  <c r="C81" i="5"/>
  <c r="C84" i="5" l="1"/>
  <c r="B84" i="5" s="1"/>
  <c r="C128" i="5"/>
  <c r="C129" i="5" s="1"/>
  <c r="D125" i="5" s="1"/>
  <c r="D127" i="5" s="1"/>
  <c r="B81" i="5"/>
  <c r="B96" i="5" s="1"/>
  <c r="E95" i="5"/>
  <c r="D95" i="5"/>
  <c r="C84" i="4"/>
  <c r="B84" i="4" s="1"/>
  <c r="C128" i="4"/>
  <c r="C129" i="4" s="1"/>
  <c r="D125" i="4" s="1"/>
  <c r="D127" i="4" s="1"/>
  <c r="B81" i="4"/>
  <c r="B96" i="4" s="1"/>
  <c r="D95" i="4"/>
  <c r="E95" i="4"/>
  <c r="C130" i="4" l="1"/>
  <c r="C131" i="4" s="1"/>
  <c r="B99" i="4"/>
  <c r="B270" i="8"/>
  <c r="B271" i="8" s="1"/>
  <c r="E96" i="5"/>
  <c r="D96" i="5"/>
  <c r="D96" i="4"/>
  <c r="E96" i="4"/>
  <c r="C130" i="5"/>
  <c r="C131" i="5" s="1"/>
  <c r="D128" i="5"/>
  <c r="D130" i="5" s="1"/>
  <c r="D131" i="5" s="1"/>
  <c r="D128" i="4"/>
  <c r="D130" i="4" s="1"/>
  <c r="D131" i="4" s="1"/>
  <c r="B99" i="5"/>
  <c r="D270" i="8"/>
  <c r="D271" i="8" s="1"/>
  <c r="D129" i="5" l="1"/>
  <c r="E125" i="5" s="1"/>
  <c r="E127" i="5" s="1"/>
  <c r="E99" i="5"/>
  <c r="C41" i="3" s="1"/>
  <c r="D99" i="5"/>
  <c r="D129" i="4"/>
  <c r="E125" i="4" s="1"/>
  <c r="E127" i="4" s="1"/>
  <c r="D99" i="4"/>
  <c r="E99" i="4"/>
  <c r="C39" i="3" s="1"/>
  <c r="E128" i="4" l="1"/>
  <c r="E130" i="4" s="1"/>
  <c r="E131" i="4" s="1"/>
  <c r="E128" i="5"/>
  <c r="E130" i="5" s="1"/>
  <c r="E131" i="5" s="1"/>
  <c r="E129" i="4" l="1"/>
  <c r="F125" i="4" s="1"/>
  <c r="F127" i="4" s="1"/>
  <c r="F128" i="4"/>
  <c r="F130" i="4" s="1"/>
  <c r="F131" i="4" s="1"/>
  <c r="E129" i="5"/>
  <c r="F125" i="5" s="1"/>
  <c r="F127" i="5" s="1"/>
  <c r="F128" i="5" l="1"/>
  <c r="F130" i="5" s="1"/>
  <c r="F131" i="5" s="1"/>
  <c r="F129" i="4"/>
  <c r="G125" i="4" s="1"/>
  <c r="G127" i="4" s="1"/>
  <c r="G128" i="4" l="1"/>
  <c r="G130" i="4" s="1"/>
  <c r="G131" i="4" s="1"/>
  <c r="F129" i="5"/>
  <c r="G125" i="5" s="1"/>
  <c r="G127" i="5" s="1"/>
  <c r="G129" i="4" l="1"/>
  <c r="H125" i="4" s="1"/>
  <c r="H127" i="4" s="1"/>
  <c r="H128" i="4"/>
  <c r="H130" i="4" s="1"/>
  <c r="H131" i="4" s="1"/>
  <c r="G128" i="5"/>
  <c r="G130" i="5" s="1"/>
  <c r="G131" i="5" s="1"/>
  <c r="G129" i="5"/>
  <c r="H125" i="5" s="1"/>
  <c r="H127" i="5" s="1"/>
  <c r="H129" i="4" l="1"/>
  <c r="I125" i="4" s="1"/>
  <c r="I127" i="4" s="1"/>
  <c r="I128" i="4"/>
  <c r="I130" i="4" s="1"/>
  <c r="I131" i="4" s="1"/>
  <c r="H128" i="5"/>
  <c r="H130" i="5" s="1"/>
  <c r="H131" i="5" s="1"/>
  <c r="H129" i="5" l="1"/>
  <c r="I125" i="5" s="1"/>
  <c r="I127" i="5" s="1"/>
  <c r="I128" i="5"/>
  <c r="I130" i="5" s="1"/>
  <c r="I131" i="5" s="1"/>
  <c r="I129" i="4"/>
  <c r="J125" i="4" s="1"/>
  <c r="J127" i="4" s="1"/>
  <c r="J128" i="4" l="1"/>
  <c r="J130" i="4" s="1"/>
  <c r="J131" i="4" s="1"/>
  <c r="I129" i="5"/>
  <c r="J125" i="5" s="1"/>
  <c r="J127" i="5" s="1"/>
  <c r="J129" i="4" l="1"/>
  <c r="K125" i="4" s="1"/>
  <c r="K127" i="4" s="1"/>
  <c r="K128" i="4"/>
  <c r="K130" i="4" s="1"/>
  <c r="K131" i="4" s="1"/>
  <c r="J128" i="5"/>
  <c r="J130" i="5" s="1"/>
  <c r="J131" i="5" s="1"/>
  <c r="J129" i="5" l="1"/>
  <c r="K125" i="5" s="1"/>
  <c r="K127" i="5" s="1"/>
  <c r="K129" i="4"/>
  <c r="L125" i="4" s="1"/>
  <c r="L127" i="4" s="1"/>
  <c r="L128" i="4" s="1"/>
  <c r="L130" i="4" s="1"/>
  <c r="L131" i="4" s="1"/>
  <c r="K128" i="5"/>
  <c r="K130" i="5" s="1"/>
  <c r="K131" i="5" s="1"/>
  <c r="K129" i="5" l="1"/>
  <c r="L125" i="5" s="1"/>
  <c r="L127" i="5" s="1"/>
  <c r="L129" i="4"/>
  <c r="M125" i="4" s="1"/>
  <c r="M127" i="4" s="1"/>
  <c r="L128" i="5"/>
  <c r="L130" i="5" s="1"/>
  <c r="L131" i="5" s="1"/>
  <c r="M128" i="4"/>
  <c r="M130" i="4" s="1"/>
  <c r="M131" i="4" s="1"/>
  <c r="L129" i="5" l="1"/>
  <c r="M125" i="5" s="1"/>
  <c r="M127" i="5" s="1"/>
  <c r="M129" i="4"/>
  <c r="N125" i="4" s="1"/>
  <c r="N127" i="4" s="1"/>
  <c r="N128" i="4" s="1"/>
  <c r="N130" i="4" s="1"/>
  <c r="N131" i="4" s="1"/>
  <c r="M128" i="5"/>
  <c r="M130" i="5" s="1"/>
  <c r="M131" i="5" s="1"/>
  <c r="M129" i="5"/>
  <c r="N125" i="5" s="1"/>
  <c r="N127" i="5" s="1"/>
  <c r="N129" i="4" l="1"/>
  <c r="O125" i="4" s="1"/>
  <c r="O127" i="4" s="1"/>
  <c r="O128" i="4"/>
  <c r="O130" i="4" s="1"/>
  <c r="O131" i="4" s="1"/>
  <c r="N128" i="5"/>
  <c r="N130" i="5" s="1"/>
  <c r="N131" i="5" s="1"/>
  <c r="O129" i="4" l="1"/>
  <c r="P125" i="4" s="1"/>
  <c r="P127" i="4" s="1"/>
  <c r="N129" i="5"/>
  <c r="O125" i="5" s="1"/>
  <c r="O127" i="5" s="1"/>
  <c r="P128" i="4"/>
  <c r="P130" i="4" s="1"/>
  <c r="P131" i="4" s="1"/>
  <c r="P129" i="4"/>
  <c r="Q125" i="4" s="1"/>
  <c r="Q127" i="4" s="1"/>
  <c r="Q128" i="4" l="1"/>
  <c r="Q130" i="4" s="1"/>
  <c r="Q131" i="4" s="1"/>
  <c r="O128" i="5"/>
  <c r="O130" i="5" s="1"/>
  <c r="O131" i="5" s="1"/>
  <c r="O129" i="5"/>
  <c r="P125" i="5" s="1"/>
  <c r="P127" i="5" s="1"/>
  <c r="Q129" i="4" l="1"/>
  <c r="R125" i="4" s="1"/>
  <c r="R127" i="4" s="1"/>
  <c r="P128" i="5"/>
  <c r="P130" i="5" s="1"/>
  <c r="P131" i="5" s="1"/>
  <c r="R128" i="4"/>
  <c r="R130" i="4" s="1"/>
  <c r="R131" i="4" s="1"/>
  <c r="P129" i="5" l="1"/>
  <c r="Q125" i="5" s="1"/>
  <c r="Q127" i="5" s="1"/>
  <c r="R129" i="4"/>
  <c r="S125" i="4" s="1"/>
  <c r="S127" i="4" s="1"/>
  <c r="S128" i="4"/>
  <c r="S130" i="4" s="1"/>
  <c r="S131" i="4" s="1"/>
  <c r="Q128" i="5"/>
  <c r="Q130" i="5" s="1"/>
  <c r="Q131" i="5" s="1"/>
  <c r="Q129" i="5" l="1"/>
  <c r="R125" i="5" s="1"/>
  <c r="R127" i="5" s="1"/>
  <c r="S129" i="4"/>
  <c r="T125" i="4" s="1"/>
  <c r="T127" i="4" s="1"/>
  <c r="R128" i="5"/>
  <c r="R130" i="5" s="1"/>
  <c r="R131" i="5" s="1"/>
  <c r="T128" i="4"/>
  <c r="T130" i="4" s="1"/>
  <c r="T131" i="4" s="1"/>
  <c r="R129" i="5" l="1"/>
  <c r="S125" i="5" s="1"/>
  <c r="S127" i="5" s="1"/>
  <c r="T129" i="4"/>
  <c r="U125" i="4" s="1"/>
  <c r="U127" i="4" s="1"/>
  <c r="U128" i="4"/>
  <c r="U130" i="4" s="1"/>
  <c r="U131" i="4" s="1"/>
  <c r="U129" i="4"/>
  <c r="V125" i="4" s="1"/>
  <c r="V127" i="4" s="1"/>
  <c r="S128" i="5"/>
  <c r="S130" i="5" s="1"/>
  <c r="S131" i="5" s="1"/>
  <c r="S129" i="5" l="1"/>
  <c r="T125" i="5" s="1"/>
  <c r="T127" i="5" s="1"/>
  <c r="T128" i="5" s="1"/>
  <c r="V128" i="4"/>
  <c r="V130" i="4" s="1"/>
  <c r="V131" i="4" s="1"/>
  <c r="T130" i="5" l="1"/>
  <c r="T131" i="5" s="1"/>
  <c r="T129" i="5"/>
  <c r="U125" i="5" s="1"/>
  <c r="U127" i="5" s="1"/>
  <c r="U128" i="5" s="1"/>
  <c r="U130" i="5" s="1"/>
  <c r="U131" i="5" s="1"/>
  <c r="V129" i="4"/>
  <c r="W125" i="4" s="1"/>
  <c r="W127" i="4" s="1"/>
  <c r="U129" i="5" l="1"/>
  <c r="V125" i="5" s="1"/>
  <c r="V127" i="5" s="1"/>
  <c r="V128" i="5" s="1"/>
  <c r="V130" i="5" s="1"/>
  <c r="V131" i="5" s="1"/>
  <c r="W128" i="4"/>
  <c r="W130" i="4" s="1"/>
  <c r="W131" i="4" s="1"/>
  <c r="W129" i="4"/>
  <c r="X125" i="4" s="1"/>
  <c r="X127" i="4" s="1"/>
  <c r="V129" i="5" l="1"/>
  <c r="W125" i="5" s="1"/>
  <c r="W127" i="5" s="1"/>
  <c r="X128" i="4"/>
  <c r="X130" i="4" s="1"/>
  <c r="X131" i="4" s="1"/>
  <c r="X129" i="4" l="1"/>
  <c r="Y125" i="4" s="1"/>
  <c r="Y127" i="4" s="1"/>
  <c r="W128" i="5"/>
  <c r="W130" i="5" s="1"/>
  <c r="W131" i="5" s="1"/>
  <c r="W129" i="5" l="1"/>
  <c r="X125" i="5" s="1"/>
  <c r="X127" i="5" s="1"/>
  <c r="X128" i="5"/>
  <c r="X130" i="5" s="1"/>
  <c r="X131" i="5" s="1"/>
  <c r="Y128" i="4"/>
  <c r="Y130" i="4" s="1"/>
  <c r="Y131" i="4" s="1"/>
  <c r="Y129" i="4"/>
  <c r="Z125" i="4" s="1"/>
  <c r="Z127" i="4" s="1"/>
  <c r="X129" i="5" l="1"/>
  <c r="Y125" i="5" s="1"/>
  <c r="Y127" i="5" s="1"/>
  <c r="Z128" i="4"/>
  <c r="Z130" i="4" s="1"/>
  <c r="Z131" i="4" s="1"/>
  <c r="Z129" i="4"/>
  <c r="AA125" i="4" s="1"/>
  <c r="AA127" i="4" s="1"/>
  <c r="Y128" i="5"/>
  <c r="Y130" i="5" s="1"/>
  <c r="Y131" i="5" s="1"/>
  <c r="Y129" i="5" l="1"/>
  <c r="Z125" i="5" s="1"/>
  <c r="Z127" i="5" s="1"/>
  <c r="AA128" i="4"/>
  <c r="AA130" i="4" s="1"/>
  <c r="AA131" i="4" s="1"/>
  <c r="Z128" i="5"/>
  <c r="Z130" i="5" s="1"/>
  <c r="Z131" i="5" s="1"/>
  <c r="Z129" i="5" l="1"/>
  <c r="AA125" i="5" s="1"/>
  <c r="AA127" i="5" s="1"/>
  <c r="AA129" i="4"/>
  <c r="AB125" i="4" s="1"/>
  <c r="AB127" i="4" s="1"/>
  <c r="AA128" i="5"/>
  <c r="AA130" i="5" s="1"/>
  <c r="AA131" i="5" s="1"/>
  <c r="AB128" i="4"/>
  <c r="AB130" i="4" s="1"/>
  <c r="AB131" i="4" s="1"/>
  <c r="AB129" i="4"/>
  <c r="AC125" i="4" s="1"/>
  <c r="AC127" i="4" s="1"/>
  <c r="AA129" i="5" l="1"/>
  <c r="AB125" i="5" s="1"/>
  <c r="AB127" i="5" s="1"/>
  <c r="AB128" i="5"/>
  <c r="AB130" i="5" s="1"/>
  <c r="AB131" i="5" s="1"/>
  <c r="AC128" i="4"/>
  <c r="AC130" i="4" s="1"/>
  <c r="AC131" i="4" s="1"/>
  <c r="AC129" i="4"/>
  <c r="AD125" i="4" s="1"/>
  <c r="AD127" i="4" s="1"/>
  <c r="AB129" i="5" l="1"/>
  <c r="AC125" i="5" s="1"/>
  <c r="AC127" i="5" s="1"/>
  <c r="AD128" i="4"/>
  <c r="AD130" i="4" s="1"/>
  <c r="AD131" i="4" s="1"/>
  <c r="AD129" i="4" l="1"/>
  <c r="AE125" i="4" s="1"/>
  <c r="AE127" i="4" s="1"/>
  <c r="AC128" i="5"/>
  <c r="AC130" i="5" s="1"/>
  <c r="AC131" i="5" s="1"/>
  <c r="AC129" i="5" l="1"/>
  <c r="AD125" i="5" s="1"/>
  <c r="AD127" i="5" s="1"/>
  <c r="AD128" i="5"/>
  <c r="AD130" i="5" s="1"/>
  <c r="AD131" i="5" s="1"/>
  <c r="AD129" i="5"/>
  <c r="AE125" i="5" s="1"/>
  <c r="AE127" i="5" s="1"/>
  <c r="AE128" i="4"/>
  <c r="AE130" i="4" s="1"/>
  <c r="AE131" i="4" s="1"/>
  <c r="AE129" i="4"/>
  <c r="AF125" i="4" s="1"/>
  <c r="AF127" i="4" s="1"/>
  <c r="AE128" i="5" l="1"/>
  <c r="AE130" i="5" s="1"/>
  <c r="AE131" i="5" s="1"/>
  <c r="AF128" i="4"/>
  <c r="AF130" i="4" s="1"/>
  <c r="AF131" i="4" s="1"/>
  <c r="AE129" i="5" l="1"/>
  <c r="AF125" i="5" s="1"/>
  <c r="AF127" i="5" s="1"/>
  <c r="AF129" i="4"/>
  <c r="AG125" i="4" s="1"/>
  <c r="AG127" i="4" s="1"/>
  <c r="AF128" i="5"/>
  <c r="AF130" i="5" s="1"/>
  <c r="AF131" i="5" s="1"/>
  <c r="AG128" i="4"/>
  <c r="AG130" i="4" s="1"/>
  <c r="AG131" i="4" s="1"/>
  <c r="AF129" i="5" l="1"/>
  <c r="AG125" i="5" s="1"/>
  <c r="AG127" i="5" s="1"/>
  <c r="AG129" i="4"/>
  <c r="AH125" i="4" s="1"/>
  <c r="AH127" i="4" s="1"/>
  <c r="AH128" i="4" s="1"/>
  <c r="AG128" i="5"/>
  <c r="AG130" i="5" s="1"/>
  <c r="AG131" i="5" s="1"/>
  <c r="AG129" i="5" l="1"/>
  <c r="AH125" i="5" s="1"/>
  <c r="AH127" i="5" s="1"/>
  <c r="AH130" i="4"/>
  <c r="AH131" i="4" s="1"/>
  <c r="AH129" i="4"/>
  <c r="AI125" i="4" s="1"/>
  <c r="AI127" i="4" s="1"/>
  <c r="AH128" i="5"/>
  <c r="AH130" i="5" s="1"/>
  <c r="AH131" i="5" s="1"/>
  <c r="AH129" i="5"/>
  <c r="AI125" i="5" s="1"/>
  <c r="AI127" i="5" s="1"/>
  <c r="AI128" i="4"/>
  <c r="AI130" i="4" s="1"/>
  <c r="AI131" i="4" s="1"/>
  <c r="AI129" i="4" l="1"/>
  <c r="AJ125" i="4" s="1"/>
  <c r="AJ127" i="4" s="1"/>
  <c r="AJ128" i="4"/>
  <c r="AJ130" i="4" s="1"/>
  <c r="AJ131" i="4" s="1"/>
  <c r="AI128" i="5"/>
  <c r="AI130" i="5" s="1"/>
  <c r="AI131" i="5" s="1"/>
  <c r="AI129" i="5" l="1"/>
  <c r="AJ125" i="5" s="1"/>
  <c r="AJ127" i="5" s="1"/>
  <c r="AJ129" i="4"/>
  <c r="AK125" i="4" s="1"/>
  <c r="AK127" i="4" s="1"/>
  <c r="AJ128" i="5"/>
  <c r="AJ130" i="5" s="1"/>
  <c r="AJ131" i="5" s="1"/>
  <c r="AK128" i="4"/>
  <c r="AK130" i="4" s="1"/>
  <c r="AK131" i="4" s="1"/>
  <c r="AJ129" i="5" l="1"/>
  <c r="AK125" i="5" s="1"/>
  <c r="AK127" i="5" s="1"/>
  <c r="AK129" i="4"/>
  <c r="AL125" i="4" s="1"/>
  <c r="AL127" i="4" s="1"/>
  <c r="AL128" i="4"/>
  <c r="AL130" i="4" s="1"/>
  <c r="AL131" i="4" s="1"/>
  <c r="AK128" i="5"/>
  <c r="AK130" i="5" s="1"/>
  <c r="AK131" i="5" s="1"/>
  <c r="AK129" i="5" l="1"/>
  <c r="AL125" i="5" s="1"/>
  <c r="AL127" i="5" s="1"/>
  <c r="AL129" i="4"/>
  <c r="AM125" i="4" s="1"/>
  <c r="AM127" i="4" s="1"/>
  <c r="AM128" i="4" s="1"/>
  <c r="AL128" i="5"/>
  <c r="AL130" i="5" s="1"/>
  <c r="AL131" i="5" s="1"/>
  <c r="AM130" i="4" l="1"/>
  <c r="AM131" i="4" s="1"/>
  <c r="AM129" i="4"/>
  <c r="AN125" i="4" s="1"/>
  <c r="AN127" i="4" s="1"/>
  <c r="AL129" i="5"/>
  <c r="AM125" i="5" s="1"/>
  <c r="AM127" i="5" s="1"/>
  <c r="AN128" i="4"/>
  <c r="AN130" i="4" s="1"/>
  <c r="AN131" i="4" s="1"/>
  <c r="AN129" i="4" l="1"/>
  <c r="AO125" i="4" s="1"/>
  <c r="AO127" i="4" s="1"/>
  <c r="AM128" i="5"/>
  <c r="AM130" i="5" s="1"/>
  <c r="AM131" i="5" s="1"/>
  <c r="AM129" i="5" l="1"/>
  <c r="AN125" i="5" s="1"/>
  <c r="AN127" i="5" s="1"/>
  <c r="AN128" i="5"/>
  <c r="AN130" i="5" s="1"/>
  <c r="AN131" i="5" s="1"/>
  <c r="AO128" i="4"/>
  <c r="AO130" i="4" s="1"/>
  <c r="AO131" i="4" s="1"/>
  <c r="AN129" i="5" l="1"/>
  <c r="AO125" i="5" s="1"/>
  <c r="AO127" i="5" s="1"/>
  <c r="AO129" i="4"/>
  <c r="AP125" i="4" s="1"/>
  <c r="AP127" i="4" s="1"/>
  <c r="AO128" i="5"/>
  <c r="AO130" i="5" s="1"/>
  <c r="AO131" i="5" s="1"/>
  <c r="AO129" i="5" l="1"/>
  <c r="AP125" i="5" s="1"/>
  <c r="AP127" i="5" s="1"/>
  <c r="AP128" i="4"/>
  <c r="AP130" i="4" s="1"/>
  <c r="AP131" i="4" s="1"/>
  <c r="AP129" i="4"/>
  <c r="AQ125" i="4" s="1"/>
  <c r="AQ127" i="4" s="1"/>
  <c r="AQ128" i="4" l="1"/>
  <c r="AQ130" i="4" s="1"/>
  <c r="AQ131" i="4" s="1"/>
  <c r="AP128" i="5"/>
  <c r="AP130" i="5" s="1"/>
  <c r="AP131" i="5" s="1"/>
  <c r="AP129" i="5" l="1"/>
  <c r="AQ125" i="5" s="1"/>
  <c r="AQ127" i="5" s="1"/>
  <c r="AQ129" i="4"/>
  <c r="AR125" i="4" s="1"/>
  <c r="AR127" i="4" s="1"/>
  <c r="AQ128" i="5"/>
  <c r="AQ130" i="5" s="1"/>
  <c r="AQ131" i="5" s="1"/>
  <c r="AR128" i="4"/>
  <c r="AR130" i="4" s="1"/>
  <c r="AR131" i="4" s="1"/>
  <c r="AR129" i="4" l="1"/>
  <c r="AS125" i="4" s="1"/>
  <c r="AS127" i="4" s="1"/>
  <c r="AQ129" i="5"/>
  <c r="AR125" i="5" s="1"/>
  <c r="AR127" i="5" s="1"/>
  <c r="AS128" i="4"/>
  <c r="AS130" i="4" s="1"/>
  <c r="AS131" i="4" s="1"/>
  <c r="AS129" i="4" l="1"/>
  <c r="AT125" i="4" s="1"/>
  <c r="AT127" i="4" s="1"/>
  <c r="AT128" i="4"/>
  <c r="AT130" i="4" s="1"/>
  <c r="AT131" i="4" s="1"/>
  <c r="AT129" i="4"/>
  <c r="AU125" i="4" s="1"/>
  <c r="AU127" i="4" s="1"/>
  <c r="AR128" i="5"/>
  <c r="AR130" i="5" s="1"/>
  <c r="AR131" i="5" s="1"/>
  <c r="AR129" i="5" l="1"/>
  <c r="AS125" i="5" s="1"/>
  <c r="AS127" i="5" s="1"/>
  <c r="AS128" i="5" s="1"/>
  <c r="AU128" i="4"/>
  <c r="AU130" i="4" s="1"/>
  <c r="AU131" i="4" s="1"/>
  <c r="AU129" i="4"/>
  <c r="AV125" i="4" s="1"/>
  <c r="AV127" i="4" s="1"/>
  <c r="AS130" i="5" l="1"/>
  <c r="AS131" i="5" s="1"/>
  <c r="AS129" i="5"/>
  <c r="AT125" i="5" s="1"/>
  <c r="AT127" i="5" s="1"/>
  <c r="AV128" i="4"/>
  <c r="AV130" i="4" s="1"/>
  <c r="AV131" i="4" s="1"/>
  <c r="AT128" i="5"/>
  <c r="AT130" i="5" s="1"/>
  <c r="AT131" i="5" s="1"/>
  <c r="AV129" i="4" l="1"/>
  <c r="AW125" i="4" s="1"/>
  <c r="AW127" i="4" s="1"/>
  <c r="AW128" i="4"/>
  <c r="AW130" i="4" s="1"/>
  <c r="AW131" i="4" s="1"/>
  <c r="AT129" i="5"/>
  <c r="AU125" i="5" s="1"/>
  <c r="AU127" i="5" s="1"/>
  <c r="AW129" i="4" l="1"/>
  <c r="AX125" i="4" s="1"/>
  <c r="AX127" i="4" s="1"/>
  <c r="AU128" i="5"/>
  <c r="AU130" i="5" s="1"/>
  <c r="AU131" i="5" s="1"/>
  <c r="AX128" i="4"/>
  <c r="AX130" i="4" s="1"/>
  <c r="AX131" i="4" s="1"/>
  <c r="AX129" i="4" l="1"/>
  <c r="AY125" i="4" s="1"/>
  <c r="AY127" i="4" s="1"/>
  <c r="AU129" i="5"/>
  <c r="AV125" i="5" s="1"/>
  <c r="AV127" i="5" s="1"/>
  <c r="AV128" i="5" l="1"/>
  <c r="AV130" i="5" s="1"/>
  <c r="AV131" i="5" s="1"/>
  <c r="AY128" i="4"/>
  <c r="AY130" i="4" s="1"/>
  <c r="AY131" i="4" s="1"/>
  <c r="AV129" i="5" l="1"/>
  <c r="AW125" i="5" s="1"/>
  <c r="AW127" i="5" s="1"/>
  <c r="AW128" i="5" s="1"/>
  <c r="AW130" i="5" s="1"/>
  <c r="AW131" i="5" s="1"/>
  <c r="AY129" i="4"/>
  <c r="AZ125" i="4" s="1"/>
  <c r="AZ127" i="4" s="1"/>
  <c r="AW129" i="5" l="1"/>
  <c r="AX125" i="5" s="1"/>
  <c r="AX127" i="5" s="1"/>
  <c r="AX128" i="5" s="1"/>
  <c r="AX130" i="5" s="1"/>
  <c r="AX131" i="5" s="1"/>
  <c r="AZ128" i="4"/>
  <c r="AZ130" i="4" s="1"/>
  <c r="AZ131" i="4" s="1"/>
  <c r="AZ129" i="4"/>
  <c r="BA125" i="4" s="1"/>
  <c r="BA127" i="4" s="1"/>
  <c r="AX129" i="5" l="1"/>
  <c r="AY125" i="5" s="1"/>
  <c r="AY127" i="5" s="1"/>
  <c r="AY128" i="5" s="1"/>
  <c r="BA128" i="4"/>
  <c r="BA130" i="4" s="1"/>
  <c r="BA131" i="4" s="1"/>
  <c r="AY130" i="5" l="1"/>
  <c r="AY131" i="5" s="1"/>
  <c r="AY129" i="5"/>
  <c r="AZ125" i="5" s="1"/>
  <c r="AZ127" i="5" s="1"/>
  <c r="BA129" i="4"/>
  <c r="BB125" i="4" s="1"/>
  <c r="BB127" i="4" s="1"/>
  <c r="AZ128" i="5"/>
  <c r="AZ130" i="5" s="1"/>
  <c r="AZ131" i="5" s="1"/>
  <c r="AZ129" i="5" l="1"/>
  <c r="BA125" i="5" s="1"/>
  <c r="BA127" i="5" s="1"/>
  <c r="BA128" i="5" s="1"/>
  <c r="BA130" i="5" s="1"/>
  <c r="BA131" i="5" s="1"/>
  <c r="BB128" i="4"/>
  <c r="BB130" i="4" s="1"/>
  <c r="BB131" i="4" s="1"/>
  <c r="BA129" i="5" l="1"/>
  <c r="BB125" i="5" s="1"/>
  <c r="BB127" i="5" s="1"/>
  <c r="BB129" i="4"/>
  <c r="BC125" i="4" s="1"/>
  <c r="BC127" i="4" s="1"/>
  <c r="BB128" i="5"/>
  <c r="BB130" i="5" s="1"/>
  <c r="BB131" i="5" s="1"/>
  <c r="BB129" i="5" l="1"/>
  <c r="BC125" i="5" s="1"/>
  <c r="BC127" i="5" s="1"/>
  <c r="BC128" i="5" s="1"/>
  <c r="BC128" i="4"/>
  <c r="BC130" i="4" s="1"/>
  <c r="BC131" i="4" s="1"/>
  <c r="BC130" i="5" l="1"/>
  <c r="BC131" i="5" s="1"/>
  <c r="BC129" i="5"/>
  <c r="BD125" i="5" s="1"/>
  <c r="BD127" i="5" s="1"/>
  <c r="BC129" i="4"/>
  <c r="BD125" i="4" s="1"/>
  <c r="BD127" i="4" s="1"/>
  <c r="BD128" i="4" s="1"/>
  <c r="BD128" i="5"/>
  <c r="BD130" i="5" s="1"/>
  <c r="BD131" i="5" s="1"/>
  <c r="BD129" i="5" l="1"/>
  <c r="BE125" i="5" s="1"/>
  <c r="BE127" i="5" s="1"/>
  <c r="BD130" i="4"/>
  <c r="BD131" i="4" s="1"/>
  <c r="BD129" i="4"/>
  <c r="BE125" i="4" s="1"/>
  <c r="BE127" i="4" s="1"/>
  <c r="BE128" i="5"/>
  <c r="BE130" i="5" s="1"/>
  <c r="BE131" i="5" s="1"/>
  <c r="BE129" i="5"/>
  <c r="BF125" i="5" s="1"/>
  <c r="BF127" i="5" s="1"/>
  <c r="BE128" i="4"/>
  <c r="BE130" i="4" s="1"/>
  <c r="BE131" i="4" s="1"/>
  <c r="BE129" i="4" l="1"/>
  <c r="BF125" i="4" s="1"/>
  <c r="BF127" i="4" s="1"/>
  <c r="BF128" i="4"/>
  <c r="BF130" i="4" s="1"/>
  <c r="BF131" i="4" s="1"/>
  <c r="BF129" i="4"/>
  <c r="BG125" i="4" s="1"/>
  <c r="BG127" i="4" s="1"/>
  <c r="BF128" i="5"/>
  <c r="BF130" i="5" s="1"/>
  <c r="BF131" i="5" s="1"/>
  <c r="BF129" i="5"/>
  <c r="BG125" i="5" s="1"/>
  <c r="BG127" i="5" s="1"/>
  <c r="BG128" i="5" l="1"/>
  <c r="BG130" i="5" s="1"/>
  <c r="BG131" i="5" s="1"/>
  <c r="BG128" i="4"/>
  <c r="BG130" i="4" s="1"/>
  <c r="BG131" i="4" s="1"/>
  <c r="BG129" i="5" l="1"/>
  <c r="BH125" i="5" s="1"/>
  <c r="BH127" i="5" s="1"/>
  <c r="BG129" i="4"/>
  <c r="BH125" i="4" s="1"/>
  <c r="BH127" i="4" s="1"/>
  <c r="BH128" i="4" l="1"/>
  <c r="BH130" i="4" s="1"/>
  <c r="BH131" i="4" s="1"/>
  <c r="BH128" i="5"/>
  <c r="BH130" i="5" s="1"/>
  <c r="BH131" i="5" s="1"/>
  <c r="BH129" i="4" l="1"/>
  <c r="BI125" i="4" s="1"/>
  <c r="BI127" i="4" s="1"/>
  <c r="BH129" i="5"/>
  <c r="BI125" i="5" s="1"/>
  <c r="BI127" i="5" s="1"/>
  <c r="BI128" i="5" l="1"/>
  <c r="BI130" i="5" s="1"/>
  <c r="BI131" i="5" s="1"/>
  <c r="BI128" i="4"/>
  <c r="BI130" i="4" s="1"/>
  <c r="BI131" i="4" s="1"/>
  <c r="BI129" i="5" l="1"/>
  <c r="BJ125" i="5" s="1"/>
  <c r="BJ127" i="5" s="1"/>
  <c r="BI129" i="4"/>
  <c r="BJ125" i="4" s="1"/>
  <c r="BJ127" i="4" s="1"/>
  <c r="BJ128" i="4"/>
  <c r="BJ130" i="4" s="1"/>
  <c r="BJ131" i="4" s="1"/>
  <c r="BJ129" i="4"/>
  <c r="BK125" i="4" s="1"/>
  <c r="BK127" i="4" s="1"/>
  <c r="BJ128" i="5"/>
  <c r="BJ130" i="5" s="1"/>
  <c r="BJ131" i="5" s="1"/>
  <c r="BJ129" i="5" l="1"/>
  <c r="BK125" i="5" s="1"/>
  <c r="BK127" i="5" s="1"/>
  <c r="BK128" i="5"/>
  <c r="BK130" i="5" s="1"/>
  <c r="BK131" i="5" s="1"/>
  <c r="BK129" i="5"/>
  <c r="BL125" i="5" s="1"/>
  <c r="BL127" i="5" s="1"/>
  <c r="BK128" i="4"/>
  <c r="BK130" i="4" s="1"/>
  <c r="BK131" i="4" s="1"/>
  <c r="BK129" i="4"/>
  <c r="BL125" i="4" s="1"/>
  <c r="BL127" i="4" s="1"/>
  <c r="BL128" i="4" l="1"/>
  <c r="BL130" i="4" s="1"/>
  <c r="BL131" i="4" s="1"/>
  <c r="BL128" i="5"/>
  <c r="BL130" i="5" s="1"/>
  <c r="BL131" i="5" s="1"/>
  <c r="BL129" i="5" l="1"/>
  <c r="BM125" i="5" s="1"/>
  <c r="BM127" i="5" s="1"/>
  <c r="BL129" i="4"/>
  <c r="BM125" i="4" s="1"/>
  <c r="BM127" i="4" s="1"/>
  <c r="BM128" i="5"/>
  <c r="BM130" i="5" s="1"/>
  <c r="BM131" i="5" s="1"/>
  <c r="BM128" i="4"/>
  <c r="BM130" i="4" s="1"/>
  <c r="BM131" i="4" s="1"/>
  <c r="BM129" i="5" l="1"/>
  <c r="BN125" i="5" s="1"/>
  <c r="BN127" i="5" s="1"/>
  <c r="BM129" i="4"/>
  <c r="BN125" i="4" s="1"/>
  <c r="BN127" i="4" s="1"/>
  <c r="BN128" i="4" s="1"/>
  <c r="BN128" i="5"/>
  <c r="BN130" i="5" s="1"/>
  <c r="BN131" i="5" s="1"/>
  <c r="BN129" i="5" l="1"/>
  <c r="BO125" i="5" s="1"/>
  <c r="BO127" i="5" s="1"/>
  <c r="BN130" i="4"/>
  <c r="BN131" i="4" s="1"/>
  <c r="BN129" i="4"/>
  <c r="BO125" i="4" s="1"/>
  <c r="BO127" i="4" s="1"/>
  <c r="BO128" i="5"/>
  <c r="BO130" i="5" s="1"/>
  <c r="BO131" i="5" s="1"/>
  <c r="BO129" i="5"/>
  <c r="BO128" i="4"/>
  <c r="BO130" i="4" s="1"/>
  <c r="BO131" i="4" s="1"/>
  <c r="BO129" i="4"/>
  <c r="B132" i="4" l="1"/>
  <c r="B132" i="5"/>
  <c r="BO82" i="5" s="1"/>
  <c r="BO83" i="5" s="1"/>
  <c r="BO85" i="5" s="1"/>
  <c r="C82" i="5" l="1"/>
  <c r="D82" i="5"/>
  <c r="D83" i="5" s="1"/>
  <c r="D85" i="5" s="1"/>
  <c r="E82" i="5"/>
  <c r="E83" i="5" s="1"/>
  <c r="E85" i="5" s="1"/>
  <c r="F82" i="5"/>
  <c r="F83" i="5" s="1"/>
  <c r="F85" i="5" s="1"/>
  <c r="G82" i="5"/>
  <c r="G83" i="5" s="1"/>
  <c r="G85" i="5" s="1"/>
  <c r="H82" i="5"/>
  <c r="H83" i="5" s="1"/>
  <c r="H85" i="5" s="1"/>
  <c r="I82" i="5"/>
  <c r="I83" i="5" s="1"/>
  <c r="I85" i="5" s="1"/>
  <c r="J82" i="5"/>
  <c r="J83" i="5" s="1"/>
  <c r="J85" i="5" s="1"/>
  <c r="K82" i="5"/>
  <c r="K83" i="5" s="1"/>
  <c r="K85" i="5" s="1"/>
  <c r="L82" i="5"/>
  <c r="L83" i="5" s="1"/>
  <c r="L85" i="5" s="1"/>
  <c r="M82" i="5"/>
  <c r="M83" i="5" s="1"/>
  <c r="M85" i="5" s="1"/>
  <c r="N82" i="5"/>
  <c r="N83" i="5" s="1"/>
  <c r="N85" i="5" s="1"/>
  <c r="O82" i="5"/>
  <c r="O83" i="5" s="1"/>
  <c r="O85" i="5" s="1"/>
  <c r="P82" i="5"/>
  <c r="P83" i="5" s="1"/>
  <c r="P85" i="5" s="1"/>
  <c r="Q82" i="5"/>
  <c r="Q83" i="5" s="1"/>
  <c r="Q85" i="5" s="1"/>
  <c r="R82" i="5"/>
  <c r="R83" i="5" s="1"/>
  <c r="R85" i="5" s="1"/>
  <c r="S82" i="5"/>
  <c r="S83" i="5" s="1"/>
  <c r="S85" i="5" s="1"/>
  <c r="T82" i="5"/>
  <c r="T83" i="5" s="1"/>
  <c r="T85" i="5" s="1"/>
  <c r="U82" i="5"/>
  <c r="U83" i="5" s="1"/>
  <c r="U85" i="5" s="1"/>
  <c r="V82" i="5"/>
  <c r="V83" i="5" s="1"/>
  <c r="V85" i="5" s="1"/>
  <c r="W82" i="5"/>
  <c r="W83" i="5" s="1"/>
  <c r="W85" i="5" s="1"/>
  <c r="X82" i="5"/>
  <c r="X83" i="5" s="1"/>
  <c r="X85" i="5" s="1"/>
  <c r="Y82" i="5"/>
  <c r="Y83" i="5" s="1"/>
  <c r="Y85" i="5" s="1"/>
  <c r="Z82" i="5"/>
  <c r="Z83" i="5" s="1"/>
  <c r="Z85" i="5" s="1"/>
  <c r="AA82" i="5"/>
  <c r="AA83" i="5" s="1"/>
  <c r="AA85" i="5" s="1"/>
  <c r="AB82" i="5"/>
  <c r="AB83" i="5" s="1"/>
  <c r="AB85" i="5" s="1"/>
  <c r="AC82" i="5"/>
  <c r="AC83" i="5" s="1"/>
  <c r="AC85" i="5" s="1"/>
  <c r="AD82" i="5"/>
  <c r="AD83" i="5" s="1"/>
  <c r="AD85" i="5" s="1"/>
  <c r="AE82" i="5"/>
  <c r="AE83" i="5" s="1"/>
  <c r="AE85" i="5" s="1"/>
  <c r="AF82" i="5"/>
  <c r="AF83" i="5" s="1"/>
  <c r="AF85" i="5" s="1"/>
  <c r="AG82" i="5"/>
  <c r="AG83" i="5" s="1"/>
  <c r="AG85" i="5" s="1"/>
  <c r="AH82" i="5"/>
  <c r="AH83" i="5" s="1"/>
  <c r="AH85" i="5" s="1"/>
  <c r="AI82" i="5"/>
  <c r="AI83" i="5" s="1"/>
  <c r="AI85" i="5" s="1"/>
  <c r="AJ82" i="5"/>
  <c r="AJ83" i="5" s="1"/>
  <c r="AJ85" i="5" s="1"/>
  <c r="AK82" i="5"/>
  <c r="AK83" i="5" s="1"/>
  <c r="AK85" i="5" s="1"/>
  <c r="AL82" i="5"/>
  <c r="AL83" i="5" s="1"/>
  <c r="AL85" i="5" s="1"/>
  <c r="AM82" i="5"/>
  <c r="AM83" i="5" s="1"/>
  <c r="AM85" i="5" s="1"/>
  <c r="AN82" i="5"/>
  <c r="AN83" i="5" s="1"/>
  <c r="AN85" i="5" s="1"/>
  <c r="AO82" i="5"/>
  <c r="AO83" i="5" s="1"/>
  <c r="AO85" i="5" s="1"/>
  <c r="AP82" i="5"/>
  <c r="AP83" i="5" s="1"/>
  <c r="AP85" i="5" s="1"/>
  <c r="AQ82" i="5"/>
  <c r="AQ83" i="5" s="1"/>
  <c r="AQ85" i="5" s="1"/>
  <c r="AR82" i="5"/>
  <c r="AR83" i="5" s="1"/>
  <c r="AR85" i="5" s="1"/>
  <c r="AS82" i="5"/>
  <c r="AS83" i="5" s="1"/>
  <c r="AS85" i="5" s="1"/>
  <c r="AT82" i="5"/>
  <c r="AT83" i="5" s="1"/>
  <c r="AT85" i="5" s="1"/>
  <c r="AU82" i="5"/>
  <c r="AU83" i="5" s="1"/>
  <c r="AU85" i="5" s="1"/>
  <c r="AV82" i="5"/>
  <c r="AV83" i="5" s="1"/>
  <c r="AV85" i="5" s="1"/>
  <c r="AW82" i="5"/>
  <c r="AW83" i="5" s="1"/>
  <c r="AW85" i="5" s="1"/>
  <c r="AX82" i="5"/>
  <c r="AX83" i="5" s="1"/>
  <c r="AX85" i="5" s="1"/>
  <c r="AY82" i="5"/>
  <c r="AY83" i="5" s="1"/>
  <c r="AY85" i="5" s="1"/>
  <c r="AZ82" i="5"/>
  <c r="AZ83" i="5" s="1"/>
  <c r="AZ85" i="5" s="1"/>
  <c r="BA82" i="5"/>
  <c r="BA83" i="5" s="1"/>
  <c r="BA85" i="5" s="1"/>
  <c r="BB82" i="5"/>
  <c r="BB83" i="5" s="1"/>
  <c r="BB85" i="5" s="1"/>
  <c r="BC82" i="5"/>
  <c r="BC83" i="5" s="1"/>
  <c r="BC85" i="5" s="1"/>
  <c r="BD82" i="5"/>
  <c r="BD83" i="5" s="1"/>
  <c r="BD85" i="5" s="1"/>
  <c r="BE82" i="5"/>
  <c r="BE83" i="5" s="1"/>
  <c r="BE85" i="5" s="1"/>
  <c r="BF82" i="5"/>
  <c r="BF83" i="5" s="1"/>
  <c r="BF85" i="5" s="1"/>
  <c r="BG82" i="5"/>
  <c r="BG83" i="5" s="1"/>
  <c r="BG85" i="5" s="1"/>
  <c r="BH82" i="5"/>
  <c r="BH83" i="5" s="1"/>
  <c r="BH85" i="5" s="1"/>
  <c r="BI82" i="5"/>
  <c r="BI83" i="5" s="1"/>
  <c r="BI85" i="5" s="1"/>
  <c r="BJ82" i="5"/>
  <c r="BJ83" i="5" s="1"/>
  <c r="BJ85" i="5" s="1"/>
  <c r="BK82" i="5"/>
  <c r="BK83" i="5" s="1"/>
  <c r="BK85" i="5" s="1"/>
  <c r="BL82" i="5"/>
  <c r="BL83" i="5" s="1"/>
  <c r="BL85" i="5" s="1"/>
  <c r="BM82" i="5"/>
  <c r="BM83" i="5" s="1"/>
  <c r="BM85" i="5" s="1"/>
  <c r="BN82" i="5"/>
  <c r="BN83" i="5" s="1"/>
  <c r="BN85" i="5" s="1"/>
  <c r="C82" i="4"/>
  <c r="D82" i="4"/>
  <c r="D83" i="4" s="1"/>
  <c r="D85" i="4" s="1"/>
  <c r="E82" i="4"/>
  <c r="E83" i="4" s="1"/>
  <c r="E85" i="4" s="1"/>
  <c r="F82" i="4"/>
  <c r="F83" i="4" s="1"/>
  <c r="F85" i="4" s="1"/>
  <c r="G82" i="4"/>
  <c r="G83" i="4" s="1"/>
  <c r="G85" i="4" s="1"/>
  <c r="H82" i="4"/>
  <c r="H83" i="4" s="1"/>
  <c r="H85" i="4" s="1"/>
  <c r="I82" i="4"/>
  <c r="I83" i="4" s="1"/>
  <c r="I85" i="4" s="1"/>
  <c r="J82" i="4"/>
  <c r="J83" i="4" s="1"/>
  <c r="J85" i="4" s="1"/>
  <c r="K82" i="4"/>
  <c r="K83" i="4" s="1"/>
  <c r="K85" i="4" s="1"/>
  <c r="L82" i="4"/>
  <c r="L83" i="4" s="1"/>
  <c r="L85" i="4" s="1"/>
  <c r="M82" i="4"/>
  <c r="M83" i="4" s="1"/>
  <c r="M85" i="4" s="1"/>
  <c r="N82" i="4"/>
  <c r="N83" i="4" s="1"/>
  <c r="N85" i="4" s="1"/>
  <c r="O82" i="4"/>
  <c r="O83" i="4" s="1"/>
  <c r="O85" i="4" s="1"/>
  <c r="P82" i="4"/>
  <c r="P83" i="4" s="1"/>
  <c r="P85" i="4" s="1"/>
  <c r="Q82" i="4"/>
  <c r="Q83" i="4" s="1"/>
  <c r="Q85" i="4" s="1"/>
  <c r="R82" i="4"/>
  <c r="R83" i="4" s="1"/>
  <c r="R85" i="4" s="1"/>
  <c r="S82" i="4"/>
  <c r="S83" i="4" s="1"/>
  <c r="S85" i="4" s="1"/>
  <c r="T82" i="4"/>
  <c r="T83" i="4" s="1"/>
  <c r="T85" i="4" s="1"/>
  <c r="U82" i="4"/>
  <c r="U83" i="4" s="1"/>
  <c r="U85" i="4" s="1"/>
  <c r="V82" i="4"/>
  <c r="V83" i="4" s="1"/>
  <c r="V85" i="4" s="1"/>
  <c r="W82" i="4"/>
  <c r="W83" i="4" s="1"/>
  <c r="W85" i="4" s="1"/>
  <c r="X82" i="4"/>
  <c r="X83" i="4" s="1"/>
  <c r="X85" i="4" s="1"/>
  <c r="Y82" i="4"/>
  <c r="Y83" i="4" s="1"/>
  <c r="Y85" i="4" s="1"/>
  <c r="Z82" i="4"/>
  <c r="Z83" i="4" s="1"/>
  <c r="Z85" i="4" s="1"/>
  <c r="AA82" i="4"/>
  <c r="AA83" i="4" s="1"/>
  <c r="AA85" i="4" s="1"/>
  <c r="AB82" i="4"/>
  <c r="AB83" i="4" s="1"/>
  <c r="AB85" i="4" s="1"/>
  <c r="AC82" i="4"/>
  <c r="AC83" i="4" s="1"/>
  <c r="AC85" i="4" s="1"/>
  <c r="AD82" i="4"/>
  <c r="AD83" i="4" s="1"/>
  <c r="AD85" i="4" s="1"/>
  <c r="AE82" i="4"/>
  <c r="AE83" i="4" s="1"/>
  <c r="AE85" i="4" s="1"/>
  <c r="AF82" i="4"/>
  <c r="AF83" i="4" s="1"/>
  <c r="AF85" i="4" s="1"/>
  <c r="AG82" i="4"/>
  <c r="AG83" i="4" s="1"/>
  <c r="AG85" i="4" s="1"/>
  <c r="AH82" i="4"/>
  <c r="AH83" i="4" s="1"/>
  <c r="AH85" i="4" s="1"/>
  <c r="AI82" i="4"/>
  <c r="AI83" i="4" s="1"/>
  <c r="AI85" i="4" s="1"/>
  <c r="AJ82" i="4"/>
  <c r="AJ83" i="4" s="1"/>
  <c r="AJ85" i="4" s="1"/>
  <c r="AK82" i="4"/>
  <c r="AK83" i="4" s="1"/>
  <c r="AK85" i="4" s="1"/>
  <c r="AL82" i="4"/>
  <c r="AL83" i="4" s="1"/>
  <c r="AL85" i="4" s="1"/>
  <c r="AM82" i="4"/>
  <c r="AM83" i="4" s="1"/>
  <c r="AM85" i="4" s="1"/>
  <c r="AN82" i="4"/>
  <c r="AN83" i="4" s="1"/>
  <c r="AN85" i="4" s="1"/>
  <c r="AO82" i="4"/>
  <c r="AO83" i="4" s="1"/>
  <c r="AO85" i="4" s="1"/>
  <c r="AP82" i="4"/>
  <c r="AP83" i="4" s="1"/>
  <c r="AP85" i="4" s="1"/>
  <c r="AQ82" i="4"/>
  <c r="AQ83" i="4" s="1"/>
  <c r="AQ85" i="4" s="1"/>
  <c r="AR82" i="4"/>
  <c r="AR83" i="4" s="1"/>
  <c r="AR85" i="4" s="1"/>
  <c r="AS82" i="4"/>
  <c r="AS83" i="4" s="1"/>
  <c r="AS85" i="4" s="1"/>
  <c r="AT82" i="4"/>
  <c r="AT83" i="4" s="1"/>
  <c r="AT85" i="4" s="1"/>
  <c r="AU82" i="4"/>
  <c r="AU83" i="4" s="1"/>
  <c r="AU85" i="4" s="1"/>
  <c r="AV82" i="4"/>
  <c r="AV83" i="4" s="1"/>
  <c r="AV85" i="4" s="1"/>
  <c r="AW82" i="4"/>
  <c r="AW83" i="4" s="1"/>
  <c r="AW85" i="4" s="1"/>
  <c r="AX82" i="4"/>
  <c r="AX83" i="4" s="1"/>
  <c r="AX85" i="4" s="1"/>
  <c r="AY82" i="4"/>
  <c r="AY83" i="4" s="1"/>
  <c r="AY85" i="4" s="1"/>
  <c r="AZ82" i="4"/>
  <c r="AZ83" i="4" s="1"/>
  <c r="AZ85" i="4" s="1"/>
  <c r="BA82" i="4"/>
  <c r="BA83" i="4" s="1"/>
  <c r="BA85" i="4" s="1"/>
  <c r="BB82" i="4"/>
  <c r="BB83" i="4" s="1"/>
  <c r="BB85" i="4" s="1"/>
  <c r="BC82" i="4"/>
  <c r="BC83" i="4" s="1"/>
  <c r="BC85" i="4" s="1"/>
  <c r="BD82" i="4"/>
  <c r="BD83" i="4" s="1"/>
  <c r="BD85" i="4" s="1"/>
  <c r="BE82" i="4"/>
  <c r="BE83" i="4" s="1"/>
  <c r="BE85" i="4" s="1"/>
  <c r="BF82" i="4"/>
  <c r="BF83" i="4" s="1"/>
  <c r="BF85" i="4" s="1"/>
  <c r="BG82" i="4"/>
  <c r="BG83" i="4" s="1"/>
  <c r="BG85" i="4" s="1"/>
  <c r="BH82" i="4"/>
  <c r="BH83" i="4" s="1"/>
  <c r="BH85" i="4" s="1"/>
  <c r="BI82" i="4"/>
  <c r="BI83" i="4" s="1"/>
  <c r="BI85" i="4" s="1"/>
  <c r="BJ82" i="4"/>
  <c r="BJ83" i="4" s="1"/>
  <c r="BJ85" i="4" s="1"/>
  <c r="BK82" i="4"/>
  <c r="BK83" i="4" s="1"/>
  <c r="BK85" i="4" s="1"/>
  <c r="BL82" i="4"/>
  <c r="BL83" i="4" s="1"/>
  <c r="BL85" i="4" s="1"/>
  <c r="BM82" i="4"/>
  <c r="BM83" i="4" s="1"/>
  <c r="BM85" i="4" s="1"/>
  <c r="BN82" i="4"/>
  <c r="BN83" i="4" s="1"/>
  <c r="BN85" i="4" s="1"/>
  <c r="BO82" i="4"/>
  <c r="BO83" i="4" s="1"/>
  <c r="BO85" i="4" s="1"/>
  <c r="B82" i="4" l="1"/>
  <c r="B97" i="4" s="1"/>
  <c r="C83" i="4"/>
  <c r="B82" i="5"/>
  <c r="B97" i="5" s="1"/>
  <c r="C83" i="5"/>
  <c r="C85" i="5" l="1"/>
  <c r="B85" i="5" s="1"/>
  <c r="B83" i="5"/>
  <c r="B98" i="5" s="1"/>
  <c r="B83" i="4"/>
  <c r="B98" i="4" s="1"/>
  <c r="C85" i="4"/>
  <c r="B85" i="4" s="1"/>
  <c r="D97" i="5"/>
  <c r="E97" i="5"/>
  <c r="E97" i="4"/>
  <c r="D97" i="4"/>
  <c r="B100" i="4" l="1"/>
  <c r="B103" i="4"/>
  <c r="D98" i="5"/>
  <c r="E98" i="5"/>
  <c r="D98" i="4"/>
  <c r="E98" i="4"/>
  <c r="C38" i="3" s="1"/>
  <c r="B103" i="5"/>
  <c r="B100" i="5"/>
  <c r="D100" i="5" s="1"/>
  <c r="B112" i="5" l="1"/>
  <c r="D8" i="2"/>
  <c r="B112" i="4"/>
  <c r="C8" i="2"/>
  <c r="D100" i="4"/>
  <c r="E100" i="4"/>
  <c r="C34" i="3" l="1"/>
  <c r="C40" i="3"/>
  <c r="B234" i="8"/>
  <c r="B235" i="8" s="1"/>
  <c r="D31" i="1" s="1"/>
  <c r="B114" i="4"/>
  <c r="C16" i="2"/>
  <c r="B236" i="8"/>
  <c r="B237" i="8" s="1"/>
  <c r="D32" i="1" s="1"/>
  <c r="B114" i="5"/>
  <c r="D16" i="2"/>
  <c r="B72" i="7" l="1"/>
  <c r="G8" i="2"/>
  <c r="D18" i="2"/>
  <c r="B88" i="7"/>
  <c r="B19" i="7"/>
  <c r="B56" i="7"/>
  <c r="B104" i="7"/>
  <c r="B24" i="7"/>
  <c r="B40" i="7"/>
  <c r="D20" i="1"/>
  <c r="D22" i="1" s="1"/>
  <c r="B123" i="7"/>
  <c r="B88" i="6"/>
  <c r="C18" i="2"/>
  <c r="B104" i="6"/>
  <c r="B72" i="6"/>
  <c r="B24" i="6"/>
  <c r="G7" i="2"/>
  <c r="B56" i="6"/>
  <c r="B123" i="6"/>
  <c r="D19" i="1"/>
  <c r="B40" i="6"/>
  <c r="B1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4" authorId="0" shapeId="0" xr:uid="{00000000-0006-0000-0500-000001000000}">
      <text>
        <r>
          <rPr>
            <sz val="12"/>
            <color theme="1"/>
            <rFont val="Aptos Narrow"/>
            <family val="2"/>
            <charset val="1"/>
          </rPr>
          <t>Base = AIF 3-consultant 2030 WTI (US$73.37). Scales WTI, WCS, CLS and C5+ for 2027-2030 together (ratio to 73.37), preserving the AIF differential structure; 2026 and AECO are not scaled.</t>
        </r>
      </text>
    </comment>
    <comment ref="B6" authorId="0" shapeId="0" xr:uid="{00000000-0006-0000-0500-000002000000}">
      <text>
        <r>
          <rPr>
            <sz val="12"/>
            <color theme="1"/>
            <rFont val="Aptos Narrow"/>
            <family val="2"/>
            <charset val="1"/>
          </rPr>
          <t>Added to the WCS benchmark in every year (converted to C$ at each year's FX). ~70% of CNRL liquids reserves are heavy/bitumen, this is the second-largest lever after WTI.</t>
        </r>
      </text>
    </comment>
    <comment ref="B7" authorId="0" shapeId="0" xr:uid="{00000000-0006-0000-0500-000003000000}">
      <text>
        <r>
          <rPr>
            <sz val="12"/>
            <color theme="1"/>
            <rFont val="Aptos Narrow"/>
            <family val="2"/>
            <charset val="1"/>
          </rPr>
          <t>IB Assumptions!B6 now links here so the data table can flex it.</t>
        </r>
      </text>
    </comment>
    <comment ref="B8" authorId="0" shapeId="0" xr:uid="{00000000-0006-0000-0500-000004000000}">
      <text>
        <r>
          <rPr>
            <sz val="12"/>
            <color theme="1"/>
            <rFont val="Aptos Narrow"/>
            <family val="2"/>
            <charset val="1"/>
          </rPr>
          <t>1P is a P90 estimate, so downside revisions are the realistic case. Applied to all eight products' Company Gross 1P reserves.</t>
        </r>
      </text>
    </comment>
    <comment ref="B9" authorId="0" shapeId="0" xr:uid="{00000000-0006-0000-0500-000005000000}">
      <text>
        <r>
          <rPr>
            <sz val="12"/>
            <color theme="1"/>
            <rFont val="Aptos Narrow"/>
            <family val="2"/>
            <charset val="1"/>
          </rPr>
          <t>Mode 1 (default) is the conservative reading of "reserves are X% lower", every year produces X% less. Mode 0 keeps year-1 production and shortens/extends the tail, which is closer to how IQRE negative revisions actually land (and has a much smaller NPV effect because tail years are heavily discounted). Run both.</t>
        </r>
      </text>
    </comment>
    <comment ref="B10" authorId="0" shapeId="0" xr:uid="{00000000-0006-0000-0500-000006000000}">
      <text>
        <r>
          <rPr>
            <sz val="12"/>
            <color theme="1"/>
            <rFont val="Aptos Narrow"/>
            <family val="2"/>
            <charset val="1"/>
          </rPr>
          <t>Applied to product-level opex after inflation and calibration.</t>
        </r>
      </text>
    </comment>
    <comment ref="B11" authorId="0" shapeId="0" xr:uid="{00000000-0006-0000-0500-000007000000}">
      <text>
        <r>
          <rPr>
            <sz val="12"/>
            <color theme="1"/>
            <rFont val="Aptos Narrow"/>
            <family val="2"/>
            <charset val="1"/>
          </rPr>
          <t>Applied to all years of the AIF capex phasing (incl. the "Thereafter" bucket, 74% of the total).</t>
        </r>
      </text>
    </comment>
    <comment ref="B12" authorId="0" shapeId="0" xr:uid="{00000000-0006-0000-0500-000008000000}">
      <text>
        <r>
          <rPr>
            <sz val="12"/>
            <color theme="1"/>
            <rFont val="Aptos Narrow"/>
            <family val="2"/>
            <charset val="1"/>
          </rPr>
          <t>Base = 1/0.74 (AIF 2028+). Applied as a pass-through on the C$ crude benchmarks (WCS, CLS, C5+) for 2028+: C$ price = AIF C$ price × (FX ÷ 1.3514). AECO (a C$ market) and all C$ costs are unaffected, FX hits revenue only, which is the point of the sensitivity. 2026-27 unchanged.</t>
        </r>
      </text>
    </comment>
    <comment ref="B13" authorId="0" shapeId="0" xr:uid="{00000000-0006-0000-0500-000009000000}">
      <text>
        <r>
          <rPr>
            <sz val="12"/>
            <color theme="1"/>
            <rFont val="Aptos Narrow"/>
            <family val="2"/>
            <charset val="1"/>
          </rPr>
          <t>REQUIRED for meaningful sensitivities. With calibration live, royalties and opex re-solve to the AIF totals under every scenario and the price/volume sensitivity is cancelled out. Frozen factors below = base-case solved values.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4" authorId="0" shapeId="0" xr:uid="{00000000-0006-0000-0600-000001000000}">
      <text>
        <r>
          <rPr>
            <sz val="12"/>
            <color theme="1"/>
            <rFont val="Aptos Narrow"/>
            <family val="2"/>
            <charset val="1"/>
          </rPr>
          <t>Base = AIF 3-consultant 2030 WTI (US$73.37). Scales WTI, WCS, CLS and C5+ for 2027-2030 together (ratio to 73.37), preserving the AIF differential structure; 2026 and AECO are not scaled.</t>
        </r>
      </text>
    </comment>
    <comment ref="B6" authorId="0" shapeId="0" xr:uid="{00000000-0006-0000-0600-000002000000}">
      <text>
        <r>
          <rPr>
            <sz val="12"/>
            <color theme="1"/>
            <rFont val="Aptos Narrow"/>
            <family val="2"/>
            <charset val="1"/>
          </rPr>
          <t>Added to the WCS benchmark in every year (converted to C$ at each year's FX). ~70% of CNRL liquids reserves are heavy/bitumen, this is the second-largest lever after WTI.</t>
        </r>
      </text>
    </comment>
    <comment ref="B7" authorId="0" shapeId="0" xr:uid="{00000000-0006-0000-0600-000003000000}">
      <text>
        <r>
          <rPr>
            <sz val="12"/>
            <color theme="1"/>
            <rFont val="Aptos Narrow"/>
            <family val="2"/>
            <charset val="1"/>
          </rPr>
          <t>IB Assumptions!B6 now links here so the data table can flex it.</t>
        </r>
      </text>
    </comment>
    <comment ref="B8" authorId="0" shapeId="0" xr:uid="{00000000-0006-0000-0600-000004000000}">
      <text>
        <r>
          <rPr>
            <sz val="12"/>
            <color theme="1"/>
            <rFont val="Aptos Narrow"/>
            <family val="2"/>
            <charset val="1"/>
          </rPr>
          <t>1P is a P90 estimate, so downside revisions are the realistic case. Applied to all eight products' Company Gross 1P reserves.</t>
        </r>
      </text>
    </comment>
    <comment ref="B9" authorId="0" shapeId="0" xr:uid="{00000000-0006-0000-0600-000005000000}">
      <text>
        <r>
          <rPr>
            <sz val="12"/>
            <color theme="1"/>
            <rFont val="Aptos Narrow"/>
            <family val="2"/>
            <charset val="1"/>
          </rPr>
          <t>Mode 1 (default) is the conservative reading of "reserves are X% lower", every year produces X% less. Mode 0 keeps year-1 production and shortens/extends the tail, which is closer to how IQRE negative revisions actually land (and has a much smaller NPV effect because tail years are heavily discounted). Run both.</t>
        </r>
      </text>
    </comment>
    <comment ref="B10" authorId="0" shapeId="0" xr:uid="{00000000-0006-0000-0600-000006000000}">
      <text>
        <r>
          <rPr>
            <sz val="12"/>
            <color theme="1"/>
            <rFont val="Aptos Narrow"/>
            <family val="2"/>
            <charset val="1"/>
          </rPr>
          <t>Applied to product-level opex after inflation and calibration.</t>
        </r>
      </text>
    </comment>
    <comment ref="B11" authorId="0" shapeId="0" xr:uid="{00000000-0006-0000-0600-000007000000}">
      <text>
        <r>
          <rPr>
            <sz val="12"/>
            <color theme="1"/>
            <rFont val="Aptos Narrow"/>
            <family val="2"/>
            <charset val="1"/>
          </rPr>
          <t>Applied to all years of the AIF capex phasing (incl. the "Thereafter" bucket, 74% of the total).</t>
        </r>
      </text>
    </comment>
    <comment ref="B12" authorId="0" shapeId="0" xr:uid="{00000000-0006-0000-0600-000008000000}">
      <text>
        <r>
          <rPr>
            <sz val="12"/>
            <color theme="1"/>
            <rFont val="Aptos Narrow"/>
            <family val="2"/>
            <charset val="1"/>
          </rPr>
          <t>Base = 1/0.74 (AIF 2028+). Applied as a pass-through on the C$ crude benchmarks (WCS, CLS, C5+) for 2028+: C$ price = AIF C$ price × (FX ÷ 1.3514). AECO (a C$ market) and all C$ costs are unaffected, FX hits revenue only, which is the point of the sensitivity. 2026-27 unchanged.</t>
        </r>
      </text>
    </comment>
    <comment ref="B13" authorId="0" shapeId="0" xr:uid="{00000000-0006-0000-0600-000009000000}">
      <text>
        <r>
          <rPr>
            <sz val="12"/>
            <color theme="1"/>
            <rFont val="Aptos Narrow"/>
            <family val="2"/>
            <charset val="1"/>
          </rPr>
          <t>REQUIRED for meaningful sensitivities. With calibration live, royalties and opex re-solve to the AIF totals under every scenario and the price/volume sensitivity is cancelled out. Frozen factors below = base-case solved values.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18" authorId="0" shapeId="0" xr:uid="{00000000-0006-0000-0700-000001000000}">
      <text>
        <r>
          <rPr>
            <sz val="12"/>
            <color theme="1"/>
            <rFont val="Aptos Narrow"/>
            <family val="2"/>
            <charset val="1"/>
          </rPr>
          <t>FS note 5 / note 8: lease liabilities $3,106mm at Dec 31 2025 ($1,464mm 2024). Total balance including current portion; the $1,665mm "current portion" in note 8 covers all other long-term liabilities, not leases alone. Excluded from "long-term debt, net" of $15,944mm, so deducted separately here.
Note: $1,510mm of the increase is the Corridor pipeline contract reclassified to a lease after the AOSP swap (FS note 5), previously disclosed as a transportation commitment, so this is a reclassification, not new obligation.</t>
        </r>
      </text>
    </comment>
    <comment ref="B114" authorId="0" shapeId="0" xr:uid="{00000000-0006-0000-0700-000002000000}">
      <text>
        <r>
          <rPr>
            <sz val="12"/>
            <color theme="1"/>
            <rFont val="Aptos Narrow"/>
            <family val="2"/>
            <charset val="1"/>
          </rPr>
          <t>FS note 8: asset retirement obligations $9,743mm (2024: $8,607mm), discounted at a weighted-average 4.9% with inflation up to 2%, settled over ~60 years. Covers ALL regions including the North Sea.</t>
        </r>
      </text>
    </comment>
    <comment ref="B115" authorId="0" shapeId="0" xr:uid="{00000000-0006-0000-0700-000003000000}">
      <text>
        <r>
          <rPr>
            <sz val="12"/>
            <color theme="1"/>
            <rFont val="Aptos Narrow"/>
            <family val="2"/>
            <charset val="1"/>
          </rPr>
          <t>ESTIMATE. CNRL does not disclose ARO by region. Basis for ~25%: North Sea decommissioning spend was $1,223mm in 2025 alone (AIF p.45 "Costs incurred", North Sea Development column, effectively all decommissioning); CNRL recorded a $1,462mm non-cash charge for revisions to North Sea abandonment costs in 2025 (FS note 3); Ninian and T-Block programs continue past 2026.
This is the least certain input in the bridge, flex it and quote a range rather than a point.</t>
        </r>
      </text>
    </comment>
    <comment ref="B122" authorId="0" shapeId="0" xr:uid="{00000000-0006-0000-0700-000004000000}">
      <text>
        <r>
          <rPr>
            <sz val="12"/>
            <color theme="1"/>
            <rFont val="Aptos Narrow"/>
            <family val="2"/>
            <charset val="1"/>
          </rPr>
          <t>Interest is deliberately excluded, financing cost is captured via net debt in the NAV bridge, so including it here would double-count.</t>
        </r>
      </text>
    </comment>
    <comment ref="B123" authorId="0" shapeId="0" xr:uid="{00000000-0006-0000-0700-000005000000}">
      <text>
        <r>
          <rPr>
            <sz val="12"/>
            <color theme="1"/>
            <rFont val="Aptos Narrow"/>
            <family val="2"/>
            <charset val="1"/>
          </rPr>
          <t>G&amp;A is modeled over the life of the asset base rather than in perpetuity, consistent with a reserves-based NAV. Links to the model-derived company 1P RLI (B37).</t>
        </r>
      </text>
    </comment>
    <comment ref="B126" authorId="0" shapeId="0" xr:uid="{00000000-0006-0000-0700-000006000000}">
      <text>
        <r>
          <rPr>
            <sz val="12"/>
            <color theme="1"/>
            <rFont val="Aptos Narrow"/>
            <family val="2"/>
            <charset val="1"/>
          </rPr>
          <t>Tax-effected at the AIF-implied effective rate (income taxes / FNR before tax), because the reserves PV it is netted against is after tax.</t>
        </r>
      </text>
    </comment>
    <comment ref="B127" authorId="0" shapeId="0" xr:uid="{00000000-0006-0000-0700-000007000000}">
      <text>
        <r>
          <rPr>
            <sz val="12"/>
            <color theme="1"/>
            <rFont val="Aptos Narrow"/>
            <family val="2"/>
            <charset val="1"/>
          </rPr>
          <t>Growing annuity: PV = C1 x (1-((1+g)/(1+r))^n)/(r-g), where C1 = 2025 G&amp;A grown one year.</t>
        </r>
      </text>
    </comment>
  </commentList>
</comments>
</file>

<file path=xl/sharedStrings.xml><?xml version="1.0" encoding="utf-8"?>
<sst xmlns="http://schemas.openxmlformats.org/spreadsheetml/2006/main" count="1322" uniqueCount="779">
  <si>
    <t>ASSUMPTIONS &amp; SOURCES</t>
  </si>
  <si>
    <t>Assumption</t>
  </si>
  <si>
    <t>Value</t>
  </si>
  <si>
    <t>Justification</t>
  </si>
  <si>
    <t>Source</t>
  </si>
  <si>
    <t>Basis</t>
  </si>
  <si>
    <t>VOLUMES &amp; RESERVE LIFE</t>
  </si>
  <si>
    <t>Reserves: 1P and 2P by product</t>
  </si>
  <si>
    <t>15,910 / 20,750 MMBOE</t>
  </si>
  <si>
    <t xml:space="preserve">Company Gross (before royalty) volumes by eight product types; the volumetric foundation. </t>
  </si>
  <si>
    <t>AIF p.24, Summary of Company Gross Reserves</t>
  </si>
  <si>
    <t>Disclosed</t>
  </si>
  <si>
    <t>2P RLI by product</t>
  </si>
  <si>
    <t>32 / 56 / 42 yrs</t>
  </si>
  <si>
    <t xml:space="preserve">Conventional E&amp;P, Thermal In Situ, Oil Sands Mining. </t>
  </si>
  <si>
    <t>Corporate Presentation Apr 2026, p.54</t>
  </si>
  <si>
    <t>1P RLI by Product</t>
  </si>
  <si>
    <t>21.0 / 36.0 / 39.1 yrs, before calibration</t>
  </si>
  <si>
    <t>1P RLI = 2P RLI x (1P / 2P reserves): the same production base serves both categories. 2P RLI of 32 / 56 / 42 yrs is disclosed by segment; the 1P figures are derived from it.</t>
  </si>
  <si>
    <t>Derived from the two rows above</t>
  </si>
  <si>
    <t>Derived</t>
  </si>
  <si>
    <t>Production profile</t>
  </si>
  <si>
    <t>Flat over calibrated field life</t>
  </si>
  <si>
    <t xml:space="preserve">Reserves / field life, held flat, with a partial final year. Guarantees cumulative production equals booked reserves exactly. Field life is the disclosed reserve life scaled by one calibration factor per case (1.032 on 1P, 0.874 on 2P), back-solved so modelled undiscounted revenue equals the evaluator's filed total. From the 2025 Q4/YE results press release (March 5, 2026), endnote 8, RLI is the relevant reserves category "divided by the 2026 proved developed producing production forecast prepared by the IQREs". This means that RLI is longer than if PDNP was included. Without the calibration factors, the 2P case overstates revenue by 7.0%, because the longer 2P reserve life pushes barrels into years where the deck has escalated at 2%/yr. </t>
  </si>
  <si>
    <t>AIF p.33</t>
  </si>
  <si>
    <t>PRICES</t>
  </si>
  <si>
    <t>Benchmark price deck</t>
  </si>
  <si>
    <t>FX</t>
  </si>
  <si>
    <t>1.374 / 1.357 / 1.351 C$ per US$</t>
  </si>
  <si>
    <t>Sproule ERCE / GLJ / McDaniel. 2025 actuals use 1.398, implied by CNRL’s paired C$/US$ cost disclosures.</t>
  </si>
  <si>
    <t>AIF p.36 n.6; MD&amp;A p.27</t>
  </si>
  <si>
    <t>Disclosed / Derived</t>
  </si>
  <si>
    <t>Realized price by product</t>
  </si>
  <si>
    <t>Benchmark ± 2025 differential</t>
  </si>
  <si>
    <t>Netback method: each product’s actual 2025 realized price (net of blending) sets its differential to WCS/CLS/C5+/AECO; differential held flat. Mining Bitumen priced at its own disclosed $53.16/bbl, not SCO’s price, which embeds upgrading value.</t>
  </si>
  <si>
    <t>AIF p.36 n.4 (realized); pp.48-50 (netbacks)</t>
  </si>
  <si>
    <t>COSTS, ROYALTIES, TAX</t>
  </si>
  <si>
    <t>Royalty rates by product</t>
  </si>
  <si>
    <t>Operating costs by product</t>
  </si>
  <si>
    <t>Development capital</t>
  </si>
  <si>
    <t>$106.1bn (1P), phased</t>
  </si>
  <si>
    <t>Evaluator’s own capex, 2026-2030 as disclosed; "Thereafter" ($79.0bn) allocated pro-rata to production since no schedule is published.</t>
  </si>
  <si>
    <t>AIF p.38</t>
  </si>
  <si>
    <t>Abandonment (ADR)</t>
  </si>
  <si>
    <t>Income tax</t>
  </si>
  <si>
    <t>AIF p.33, implied</t>
  </si>
  <si>
    <t>Discount rate</t>
  </si>
  <si>
    <t>ITEMS OUTSIDE THE RESERVES DCF</t>
  </si>
  <si>
    <t>Pipelines &amp; cogeneration</t>
  </si>
  <si>
    <t>+$690mm</t>
  </si>
  <si>
    <t>$69mm 2025 EBITDA × 10× (contracted midstream comp range 8-12×).</t>
  </si>
  <si>
    <t>MD&amp;A p.33; multiple is judgment</t>
  </si>
  <si>
    <t>Estimate</t>
  </si>
  <si>
    <t>NWR refinery (50%)</t>
  </si>
  <si>
    <t>$0</t>
  </si>
  <si>
    <t>Carried at nil, $496mm unrecognized losses for this year, can fluctuate to positive depending on oil pricing. Left at nil for simplicity.</t>
  </si>
  <si>
    <t>FS note 6; MD&amp;A p.33</t>
  </si>
  <si>
    <t>NWR toll obligation</t>
  </si>
  <si>
    <t>−$2,049mm</t>
  </si>
  <si>
    <t>Unconditional 25% share of refinery debt-service toll to 2058; off-balance-sheet, so added to debt. $4.4bn undiscounted @ ~5% cost of debt.</t>
  </si>
  <si>
    <t>FS note 15; MD&amp;A p.42</t>
  </si>
  <si>
    <t>Lease liabilities</t>
  </si>
  <si>
    <t>−$3,106mm</t>
  </si>
  <si>
    <t>Outside "long-term debt, net"; $1.5bn is the Corridor pipeline contract reclassified post-AOSP swap.</t>
  </si>
  <si>
    <t>FS notes 5, 8</t>
  </si>
  <si>
    <t>North Sea decommissioning</t>
  </si>
  <si>
    <t>Head-office G&amp;A</t>
  </si>
  <si>
    <t>FS note 16; NI 51-101 convention</t>
  </si>
  <si>
    <t>Net debt</t>
  </si>
  <si>
    <t>Shares outstanding</t>
  </si>
  <si>
    <t>2,086mm</t>
  </si>
  <si>
    <t>MD&amp;A p.42</t>
  </si>
  <si>
    <t>MODEL VALIDATION</t>
  </si>
  <si>
    <t>Reserves tie-out, 1P</t>
  </si>
  <si>
    <t>Model cumulative production equals booked reserves exactly (15,911 vs 15,910 MMBOE filed).</t>
  </si>
  <si>
    <t>NAV Model 1P cross-check block</t>
  </si>
  <si>
    <t>n/a</t>
  </si>
  <si>
    <t>Reserve life tie-out, 1P</t>
  </si>
  <si>
    <t>Model implies 32 yrs against 31 reported, but the two are not measured the same way: CNRL's reported RLI divides reserves by a proved developed producing production forecast, while this model produces every booked category from year one. See Reserves Data, Table E.</t>
  </si>
  <si>
    <t>Reserves Data Table E; Q4/YE2025 press release endnote 8</t>
  </si>
  <si>
    <t>Revenue vs evaluator, 1P</t>
  </si>
  <si>
    <t>NPV10 vs evaluator, 1P</t>
  </si>
  <si>
    <t>Pre-tax gap of ~14.6%, fully diagnosed at Model Inputs section 18. Decline-curve and tax-timing causes tested and addressed; the residual is most likely the AIF's own disclosed post-payout oil sands royalty escalation, not independently calibrable from public data. See section 18 for the full walk-through.</t>
  </si>
  <si>
    <t>Reserves tie-out, 2P</t>
  </si>
  <si>
    <t>Model cumulative production equals booked 2P reserves exactly (20,750 MMBOE).</t>
  </si>
  <si>
    <t>NAV Model 2P cross-check block</t>
  </si>
  <si>
    <t>Reserve life tie-out, 2P</t>
  </si>
  <si>
    <t>Model implies 35 yrs against 40 reported. The reported figure uses a PDP-only denominator of about 1,410 MBOE/d, roughly 14% below CNRL's 2026 guidance of 1,615-1,665 MBOE/d. On guided total production the same reserves give 34-35 yrs, which is what the model produces. See Reserves Data, Table E.</t>
  </si>
  <si>
    <t>Revenue vs evaluator, 2P</t>
  </si>
  <si>
    <t>Undiscounted FNR after tax, 1P</t>
  </si>
  <si>
    <t>NPV10 before tax, 1P</t>
  </si>
  <si>
    <t>The correct starting comparison: pre-tax, so a flat tax rate can't distort it. ~-14.6%, fully diagnosed at Model Inputs section 18.</t>
  </si>
  <si>
    <t>NAV Model 1P cross-check block; CNRL Q4/25 results release</t>
  </si>
  <si>
    <t>NPV10 after tax, 1P</t>
  </si>
  <si>
    <t>-4.80% after section 19's CCA tax-pool fix, down from -14.67% under the old flat-rate tax.</t>
  </si>
  <si>
    <t>NPV10 before tax, 2P</t>
  </si>
  <si>
    <t>Newly sourced this session: CNRL Q4/25 results release states 2P NPV10 before tax of $191.0bn directly.</t>
  </si>
  <si>
    <t>NAV Model 2P cross-check block; CNRL Q4/25 results release, Mar 5 2026</t>
  </si>
  <si>
    <t>NPV10 after tax, 2P</t>
  </si>
  <si>
    <t>Not yet checkable: the AIF's after-tax 2P figure has not been sourced. Populate Model Inputs B167 once available.</t>
  </si>
  <si>
    <t>Model Inputs section 13.4</t>
  </si>
  <si>
    <t>Primary sources: CNRL 2025 Annual Information Form (Mar 25, 2026); Q4/YE2025 MD&amp;A and audited financial statements (Mar 5, 2026); Corporate Presentation (Apr 2026); Q3/2025 Comparative Production and Netback Schedule. Page references are to the filed PDFs.</t>
  </si>
  <si>
    <t>CANADIAN NATURAL RESOURCES LIMITED</t>
  </si>
  <si>
    <t>TSX: CNQ  |  NYSE: CNQ</t>
  </si>
  <si>
    <t>Net Asset Value Analysis</t>
  </si>
  <si>
    <t>Reserves-based valuation of 1P and 2P reserves, built from primary-source disclosure</t>
  </si>
  <si>
    <t>Reserves effective date</t>
  </si>
  <si>
    <t>December 31, 2025 (discounting anchor; AIF and cost tables)</t>
  </si>
  <si>
    <t>Reserves data</t>
  </si>
  <si>
    <t>2025 Annual Information Form (NI 51-101)</t>
  </si>
  <si>
    <t>Financial data</t>
  </si>
  <si>
    <t>Q4/YE2025 MD&amp;A and audited financial statements</t>
  </si>
  <si>
    <t>Market price</t>
  </si>
  <si>
    <t>C$66.41 as at August 14, 2026 - refresh alongside the price deck below</t>
  </si>
  <si>
    <t>Price deck in use</t>
  </si>
  <si>
    <t>Methodology</t>
  </si>
  <si>
    <t>Price deck selector  (1 = AIF reserve-report, 2 = 3-Consultant-Average, June 2026)</t>
  </si>
  <si>
    <t>RESULTS AT A GLANCE</t>
  </si>
  <si>
    <t>1P Net Asset Value per share</t>
  </si>
  <si>
    <t>2P Net Asset Value per share</t>
  </si>
  <si>
    <t>Market premium to 2P NAV, at the deck above</t>
  </si>
  <si>
    <t>IMPLIED LONG-TERM WTI (from the market price, at the AIF deck's differential shape)</t>
  </si>
  <si>
    <t>Implied LT WTI (2030 anchor) from the 1P NAV</t>
  </si>
  <si>
    <t>Implied LT WTI (2030 anchor) from the 2P NAV</t>
  </si>
  <si>
    <t>Linear interpolation off Table 1's base (0 differential-shift) column, endpoints US$100 and US$50. That column is linear to five decimal places across its full range, so the two-point interpolation is effectively exact. Read this next to the AIF deck's 2030 anchor of US$73.37 above (or the active deck's own anchor at 'Model Inputs'!B194) - the gap between the two is what the market is pricing that the reserve-report deck is not.</t>
  </si>
  <si>
    <t>VALUATION-DATE ROLL-FORWARD (net debt and share count updated to the latest quarter)</t>
  </si>
  <si>
    <t>As of</t>
  </si>
  <si>
    <t>Rolled 1P NAV per share</t>
  </si>
  <si>
    <t>Rolled 2P NAV per share</t>
  </si>
  <si>
    <t>Net debt and shares outstanding updated to the latest disclosed quarter; the reserve DCF itself is not re-forecast. See Model Inputs, section 16, for the mechanics and what this does not capture.</t>
  </si>
  <si>
    <t>FORMATTING KEY</t>
  </si>
  <si>
    <t>Blue</t>
  </si>
  <si>
    <t>Hardcoded input: sourced, see Assumptions &amp; Sources</t>
  </si>
  <si>
    <t>Black</t>
  </si>
  <si>
    <t>Formula calculated on this sheet</t>
  </si>
  <si>
    <t>Green</t>
  </si>
  <si>
    <t>Link to another sheet</t>
  </si>
  <si>
    <t>Grey italic</t>
  </si>
  <si>
    <t>Note, source citation or commentary</t>
  </si>
  <si>
    <t>Negative figures shown in parentheses. Currency symbol on first line of each block and on totals only. Single rule above subtotals, double rule under final totals.</t>
  </si>
  <si>
    <t>NAV SUMMARY</t>
  </si>
  <si>
    <t>We value the oil and gas CNRL has proven in the ground (its "reserves"), year by year, after all costs and taxes, discount those cash flows back to the valuation date, then subtract debt and other obligations. Divide by shares. That is NAV: what one share is worth on assets alone, with no credit for future discoveries.</t>
  </si>
  <si>
    <t>NAV BRIDGE (C$ IN MILLIONS)</t>
  </si>
  <si>
    <t>VALUE PER SHARE (C$)</t>
  </si>
  <si>
    <t>1P: Proved</t>
  </si>
  <si>
    <t>2P: Proved + Probable</t>
  </si>
  <si>
    <t>1P NAV (floor)</t>
  </si>
  <si>
    <t>Value of reserves (after-tax DCF @ 10%)</t>
  </si>
  <si>
    <t>2P NAV (central)</t>
  </si>
  <si>
    <t>Pipelines &amp; cogeneration (10× EBITDA)</t>
  </si>
  <si>
    <t>NWR refinery equity (carried at nil)</t>
  </si>
  <si>
    <t>Bars share one scale (0–75). Gap between the market price and the 2P NAV is the premium the market pays beyond booked reserves.</t>
  </si>
  <si>
    <t>Refinery toll obligation to 2058 (off-balance-sheet)</t>
  </si>
  <si>
    <t>North Sea decommissioning (est.)</t>
  </si>
  <si>
    <t>Head-office costs over reserve life, after tax</t>
  </si>
  <si>
    <t>Net Asset Value (equity)</t>
  </si>
  <si>
    <t>÷ Shares outstanding (mm)</t>
  </si>
  <si>
    <t>NAV per share (C$)</t>
  </si>
  <si>
    <t>HOW TO READ IT</t>
  </si>
  <si>
    <t>1P ("proved")</t>
  </si>
  <si>
    <t>Reserves with at least 90% confidence. The 1P figure above is the floor: what the booked assets alone support on conservative volumes.</t>
  </si>
  <si>
    <t>2P ("proved + probable")</t>
  </si>
  <si>
    <t>Adds probable reserves (50% confidence). The 2P figure above is the central asset value. Large-cap producers typically trade near or above 2P NAV.</t>
  </si>
  <si>
    <t>WHAT MOVES THE NUMBER MOST (from live sensitivity tables)</t>
  </si>
  <si>
    <t>Driver</t>
  </si>
  <si>
    <t>1P NAV impact (C$/sh)</t>
  </si>
  <si>
    <t>2P NAV impact (C$/sh)</t>
  </si>
  <si>
    <t>Long-term oil price ± US$5/bbl (WTI)</t>
  </si>
  <si>
    <t>Discount rate 10% → 8%</t>
  </si>
  <si>
    <t>Heavy-oil (WCS) differential ± US$2.50/bbl</t>
  </si>
  <si>
    <t>Reserves booked ± 5%</t>
  </si>
  <si>
    <t>Operating costs ± 10%</t>
  </si>
  <si>
    <t>Development capital ± 10%</t>
  </si>
  <si>
    <t>CAD weakens 5c vs USD (1.35 → 1.40)</t>
  </si>
  <si>
    <t>Read live off the grids on "Sensitivities 1P" and "Sensitivities 2P", interpolated to the base WTI of US$73.37 where it falls between table rows. Signed figures show the direction of the move; ± rows show the magnitude either way.</t>
  </si>
  <si>
    <t xml:space="preserve">CNRL 1P NAV Model </t>
  </si>
  <si>
    <t>C$ millions unless noted. Years across; column B = life-of-reserves total. Inputs live on "IB Assumptions". Blue = link to input; black = formula.</t>
  </si>
  <si>
    <t>Year</t>
  </si>
  <si>
    <t>t (years from Dec 31 2025)</t>
  </si>
  <si>
    <t>Discount factor</t>
  </si>
  <si>
    <t>BENCHMARK PRICE DECK (AIF 3-consultant avg; +2%/yr after 2030)</t>
  </si>
  <si>
    <t>WTI (US$/bbl)</t>
  </si>
  <si>
    <t>FX (US$ per C$)</t>
  </si>
  <si>
    <t>WCS (C$/bbl)</t>
  </si>
  <si>
    <t>CLS/MSW (C$/bbl)</t>
  </si>
  <si>
    <t>Edmonton C5+ (C$/bbl)</t>
  </si>
  <si>
    <t>AECO (C$/MMBtu)</t>
  </si>
  <si>
    <t>REALIZED PRICE BY PRODUCT (reference benchmark ± 2025 differential, net of transportation)</t>
  </si>
  <si>
    <t>Light &amp; Medium Crude Oil (C$/bbl)</t>
  </si>
  <si>
    <t>Primary Heavy Crude Oil (C$/bbl)</t>
  </si>
  <si>
    <t>Pelican Lake Heavy Crude Oil (C$/bbl)</t>
  </si>
  <si>
    <t>Thermal Bitumen (C$/bbl)</t>
  </si>
  <si>
    <t>Mining Bitumen (C$/bbl)</t>
  </si>
  <si>
    <t>Synthetic Crude Oil (SCO) (C$/bbl)</t>
  </si>
  <si>
    <t>Natural Gas Liquids (C$/bbl)</t>
  </si>
  <si>
    <t>Natural Gas (C$/Mcf)</t>
  </si>
  <si>
    <t>PRODUCTION BY PRODUCT (MMbbl/yr; gas Bcf/yr): reserves ÷ segment 1P RLI, flat, partial final year</t>
  </si>
  <si>
    <t>Light &amp; Medium Crude Oil (MMbbl)</t>
  </si>
  <si>
    <t>Primary Heavy Crude Oil (MMbbl)</t>
  </si>
  <si>
    <t>Pelican Lake Heavy Crude Oil (MMbbl)</t>
  </si>
  <si>
    <t>Thermal Bitumen (MMbbl)</t>
  </si>
  <si>
    <t>Mining Bitumen (MMbbl)</t>
  </si>
  <si>
    <t>Synthetic Crude Oil (SCO) (MMbbl)</t>
  </si>
  <si>
    <t>Natural Gas Liquids (MMbbl)</t>
  </si>
  <si>
    <t>Natural Gas (Bcf)</t>
  </si>
  <si>
    <t>Total production (MMBOE/yr, gas 6:1)</t>
  </si>
  <si>
    <t>Total production (MBOE/d)</t>
  </si>
  <si>
    <t>Check: cumulative production − reserves (should be 0)</t>
  </si>
  <si>
    <t>REVENUE BY PRODUCT (C$mm) = production × realized price</t>
  </si>
  <si>
    <t>Light &amp; Medium Crude Oil</t>
  </si>
  <si>
    <t>Primary Heavy Crude Oil</t>
  </si>
  <si>
    <t>Pelican Lake Heavy Crude Oil</t>
  </si>
  <si>
    <t>Thermal Bitumen</t>
  </si>
  <si>
    <t>Mining Bitumen</t>
  </si>
  <si>
    <t>Synthetic Crude Oil (SCO)</t>
  </si>
  <si>
    <t>Natural Gas Liquids</t>
  </si>
  <si>
    <t>Natural Gas</t>
  </si>
  <si>
    <t>Total revenue</t>
  </si>
  <si>
    <t>Royalties before calibration (Σ revenue × rate)</t>
  </si>
  <si>
    <t>Royalty calibration factor</t>
  </si>
  <si>
    <t>Total royalties</t>
  </si>
  <si>
    <t>Cost inflation index (2025 = 1.00)</t>
  </si>
  <si>
    <t>Operating costs before calibration (Σ volume × unit cost × inflation)</t>
  </si>
  <si>
    <t>Opex calibration factor</t>
  </si>
  <si>
    <t>Total operating costs</t>
  </si>
  <si>
    <t>CAPITAL, ADR, TAX &amp; CASH FLOW (C$mm)</t>
  </si>
  <si>
    <t>Operating netback (Revenue − Royalties − Opex)</t>
  </si>
  <si>
    <t>Development capital (AIF phasing; thereafter pro-rata to BOE)</t>
  </si>
  <si>
    <t>Abandonment &amp; decommissioning (per schedule, row 121)</t>
  </si>
  <si>
    <t>Pre-tax cash flow (= FNR before tax)</t>
  </si>
  <si>
    <t>Income taxes (CCA-shaped, scaled to the filed total - rows 124-131 below)</t>
  </si>
  <si>
    <t>After-tax cash flow (= FNR after tax)</t>
  </si>
  <si>
    <t>PV of pre-tax cash flow</t>
  </si>
  <si>
    <t>PV of after-tax cash flow</t>
  </si>
  <si>
    <t>CROSS-CHECK vs AIF (Total Company, 1P, C$mm)</t>
  </si>
  <si>
    <t>Line item</t>
  </si>
  <si>
    <t>Model</t>
  </si>
  <si>
    <t>AIF</t>
  </si>
  <si>
    <t>Variance</t>
  </si>
  <si>
    <t>Var %</t>
  </si>
  <si>
    <t>Total 1P reserves (MMBOE)</t>
  </si>
  <si>
    <t>Company 1P RLI (yrs)</t>
  </si>
  <si>
    <t>Revenue (undiscounted)</t>
  </si>
  <si>
    <t>Royalties (undiscounted)</t>
  </si>
  <si>
    <t>Production costs (undiscounted)</t>
  </si>
  <si>
    <t>Development capital (undiscounted)</t>
  </si>
  <si>
    <t>ADR (undiscounted)</t>
  </si>
  <si>
    <t>FNR before tax (undiscounted)</t>
  </si>
  <si>
    <t>Income taxes (undiscounted)</t>
  </si>
  <si>
    <t>FNR after tax (undiscounted)</t>
  </si>
  <si>
    <t>NPV @10% before tax</t>
  </si>
  <si>
    <t>NPV @10% after tax</t>
  </si>
  <si>
    <t>Why NPV sits below AIF while undiscounted FNR is within ~3%: (1) flat production (needed to hit both reserves and RLI exactly) is more back-loaded than the IQRE decline profiles, pushing cash flow later; (2) AIF taxes use existing tax pools (lower early tax) vs the flat effective rate here; (3) royalty/opex calibration is spread evenly across years. Set B7 to 0 for end-of-year discounting (more conservative).</t>
  </si>
  <si>
    <t>PV of 1P reserves, after tax @10%</t>
  </si>
  <si>
    <t>+ Midstream (pipelines/cogen) EV</t>
  </si>
  <si>
    <t>+ NWRP 50% equity interest</t>
  </si>
  <si>
    <t>− PV of NWRP toll obligation (debt-like, off-BS)</t>
  </si>
  <si>
    <t>− Lease liabilities</t>
  </si>
  <si>
    <t>− North Sea ARO (excluded from reserves FNR)</t>
  </si>
  <si>
    <t>− PV of corporate G&amp;A, after tax</t>
  </si>
  <si>
    <t>+ Other adjustments</t>
  </si>
  <si>
    <t>− Net debt (long-term debt, net of cash)</t>
  </si>
  <si>
    <t>1P Net Asset Value (equity)</t>
  </si>
  <si>
    <t>1P NAV per share (C$)</t>
  </si>
  <si>
    <t>Note: 1P NAV is a floor, excludes probable reserves, undeveloped land and hedges. Items deducted outside the reserves DCF: NWRP toll (off-balance-sheet, FS note 15), lease liabilities (FS note 5), North Sea ARO (no North Sea reserves booked, so excluded from FNR) and corporate G&amp;A (NI 51-101 FNR is before G&amp;A and interest).</t>
  </si>
  <si>
    <t>ADR SCHEDULE BY SEGMENT (support for row 80)</t>
  </si>
  <si>
    <t xml:space="preserve">  Conventional E&amp;P</t>
  </si>
  <si>
    <t xml:space="preserve">  Thermal In Situ</t>
  </si>
  <si>
    <t xml:space="preserve">  Oil Sands Mining &amp; Upgrading</t>
  </si>
  <si>
    <t>Total ADR (ties to row 80)</t>
  </si>
  <si>
    <t>CCA-STYLE TAX POOL (support for row 82; see Model Inputs section 19)</t>
  </si>
  <si>
    <t xml:space="preserve">  Opening pool balance</t>
  </si>
  <si>
    <t xml:space="preserve">  Additions (development capital, row 79)</t>
  </si>
  <si>
    <t xml:space="preserve">  Available pool (opening + additions)</t>
  </si>
  <si>
    <t xml:space="preserve">  CCA claimed (rate x available, capped at pre-tax CF)</t>
  </si>
  <si>
    <t xml:space="preserve">  Closing pool balance</t>
  </si>
  <si>
    <t xml:space="preserve">  Taxable income (pre-tax CF less CCA claimed)</t>
  </si>
  <si>
    <t xml:space="preserve">  Raw tax at statutory rate (unscaled)</t>
  </si>
  <si>
    <t xml:space="preserve">  Scaling factor to preserve filed undiscounted tax</t>
  </si>
  <si>
    <t>Filed undiscounted tax / raw schedule total. Preserves the exact tie to the filed total; only the year-by-year shape is new. Guarded against SUM=0 (an extreme low-price/high-cost sensitivity corner where every year's taxable income floors at zero); the guard returns tax=0 in that corner rather than erroring the data table.</t>
  </si>
  <si>
    <t>CNRL 2P NAV Model (reserve-driven, IB build)</t>
  </si>
  <si>
    <t>PRODUCTION BY PRODUCT (MMbbl/yr; gas Bcf/yr): reserves ÷ segment 2P RLI, flat, partial final year</t>
  </si>
  <si>
    <t>CROSS-CHECK vs AIF (Total Company, 2P, C$mm)</t>
  </si>
  <si>
    <t>Total 2P reserves (MMBOE)</t>
  </si>
  <si>
    <t>Company 2P RLI (yrs)</t>
  </si>
  <si>
    <t>PV of 2P reserves, after tax @10%</t>
  </si>
  <si>
    <t>2P Net Asset Value (equity)</t>
  </si>
  <si>
    <t>2P NAV per share (C$)</t>
  </si>
  <si>
    <t>Note: 2P NAV is a floor, excludes probable reserves, undeveloped land and hedges. Items deducted outside the reserves DCF: NWRP toll (off-balance-sheet, FS note 15), lease liabilities (FS note 5), North Sea ARO (no North Sea reserves booked, so excluded from FNR) and corporate G&amp;A (NI 51-101 FNR is before G&amp;A and interest).</t>
  </si>
  <si>
    <t>CNRL 1P NAV: Sensitivity Tables (live Excel Data Tables)</t>
  </si>
  <si>
    <t>Driver cells below feed the IB NAV 1P model. Tables recalculate in Excel (Formulas → Calculation Options → Automatic; press F9 if "Automatic except data tables"). Blue = input.</t>
  </si>
  <si>
    <t>SENSITIVITY DRIVERS (base case shown; data tables override these one at a time)</t>
  </si>
  <si>
    <t>Long-term WTI, 2030 anchor (US$/bbl; +2%/yr after)</t>
  </si>
  <si>
    <t xml:space="preserve">  -&gt; implied multiplier on 2027-2030 crude benchmarks (fixed AIF 2030 anchor; independent of the deck selector)</t>
  </si>
  <si>
    <t>WCS differential shift vs base (US$/bbl; + = narrower discount)</t>
  </si>
  <si>
    <t>1P reserves multiplier (EUR overshoot / technical revisions)</t>
  </si>
  <si>
    <t xml:space="preserve">  Reserves mode: 1 = hold RLI, scale annual volumes | 0 = hold rate, scale reserve life</t>
  </si>
  <si>
    <t>Operating cost multiplier</t>
  </si>
  <si>
    <t>Development capital multiplier</t>
  </si>
  <si>
    <t>FX 2028+ (C$ per US$)</t>
  </si>
  <si>
    <t>Freeze royalty/opex calibration at base-case factors (1 = on)</t>
  </si>
  <si>
    <t xml:space="preserve">  Frozen royalty calibration factor (base case)</t>
  </si>
  <si>
    <t xml:space="preserve">  Frozen opex calibration factor (base case)</t>
  </si>
  <si>
    <t xml:space="preserve">  Check: live-solved royalty factor (drift vs frozen)</t>
  </si>
  <si>
    <t xml:space="preserve">  Check: live-solved opex factor (drift vs frozen)</t>
  </si>
  <si>
    <t>Gas price multiplier (AECO, 2027-2030 anchor)</t>
  </si>
  <si>
    <t>OUTPUT: 1P NAV per share (C$), current driver settings</t>
  </si>
  <si>
    <t>Base-case 1P NAV per share (C$): hardcoded memo, update if base inputs change</t>
  </si>
  <si>
    <t>Table 1: LT WTI (rows) × WCS differential shift, US$/bbl (columns)</t>
  </si>
  <si>
    <t>LT WTI US$/bbl</t>
  </si>
  <si>
    <t>Δ NAV per US$5 WTI (base column) ≈ (row $80 − row $70) ÷ 2</t>
  </si>
  <si>
    <t>Table 2: LT WTI (rows) × discount rate (columns)</t>
  </si>
  <si>
    <t>Table 3: LT WTI (rows) × 1P reserves multiplier (columns), see reserves mode switch B9</t>
  </si>
  <si>
    <t>Table 4: LT WTI (rows) × operating cost multiplier (columns)</t>
  </si>
  <si>
    <t>Table 5: LT WTI (rows) × development capital multiplier (columns)</t>
  </si>
  <si>
    <t>Table 6: LT WTI (rows) × FX 2028+, C$ per US$ (columns)</t>
  </si>
  <si>
    <t>Notes: rows = LT WTI 2030 anchor, highest at the top (base US$73.37 sits between the $75 and $70 rows; base NAV in B20). Each cell re-runs the full IB NAV 1P model with the calibration frozen (B13). Only one column driver moves per table; all others sit at their base values in B4:B12. FX table: base 1.3514 sits between the 1.35 and 1.40 columns.</t>
  </si>
  <si>
    <t>Table 7: LT WTI (rows) × gas price multiplier (columns)</t>
  </si>
  <si>
    <t>CNRL 2P NAV: Sensitivity Tables (live Excel Data Tables)</t>
  </si>
  <si>
    <t>Driver cells below feed the IB NAV 2P model. Tables recalculate in Excel (Formulas → Calculation Options → Automatic; press F9 if "Automatic except data tables"). Blue = input.</t>
  </si>
  <si>
    <t>2P reserves multiplier (EUR overshoot / technical revisions)</t>
  </si>
  <si>
    <t>OUTPUT: 2P NAV per share (C$), current driver settings</t>
  </si>
  <si>
    <t>Base-case 2P NAV per share (C$): hardcoded memo, update if base inputs change</t>
  </si>
  <si>
    <t>Table 3: LT WTI (rows) × 2P reserves multiplier (columns), see reserves mode switch B9</t>
  </si>
  <si>
    <t>Notes: rows = LT WTI 2030 anchor, highest at the top (base US$73.37 sits between the $75 and $70 rows; base NAV in B20). Each cell re-runs the full IB NAV 2P model with the calibration frozen (B13). Only one column driver moves per table; all others sit at their base values in B4:B12. FX table: base 1.3514 sits between the 1.35 and 1.40 columns.</t>
  </si>
  <si>
    <t>CNRL 1P NAV Assumptions &amp; Inputs (IB build)</t>
  </si>
  <si>
    <t>Blue = hardcoded input (sourced) | Black = formula | Green = link to other sheet. Every input carries its source in column H or a cell comment.</t>
  </si>
  <si>
    <t>1. General / valuation</t>
  </si>
  <si>
    <t>Effective date of reserves / valuation</t>
  </si>
  <si>
    <t>Dec 31, 2025</t>
  </si>
  <si>
    <t>AIF 2025 (filed Mar 25 2026), 51-101F1</t>
  </si>
  <si>
    <t>Links to 1P Sensitivities!B7 (data-table driver). Base 10%.</t>
  </si>
  <si>
    <t>Discount timing (0 = end-of-year, 0.5 = mid-year)</t>
  </si>
  <si>
    <t>Set to mid-year; end-of-year gives a lower NPV. Toggle to test vs AIF NPV10.</t>
  </si>
  <si>
    <t>Cost inflation: 2026</t>
  </si>
  <si>
    <t>AIF p.36 note 5: 0% for 2026</t>
  </si>
  <si>
    <t>Cost inflation: 2027 and beyond</t>
  </si>
  <si>
    <t>AIF p.36 note 5: 2%/yr 2027+</t>
  </si>
  <si>
    <t>Price escalation after 2030</t>
  </si>
  <si>
    <t>AIF p.35: "All prices increase at a rate of 2% per year after 2030"</t>
  </si>
  <si>
    <t>Effective income tax rate (on pre-tax cash flow)</t>
  </si>
  <si>
    <t>Implied by AIF FNR table: Income Taxes / FNR before tax (undiscounted). AIF taxes reflect existing tax pools (note 4); a flat rate ignores pool timing.</t>
  </si>
  <si>
    <t>Royalty calibration to AIF total (1 = on, 0 = off)</t>
  </si>
  <si>
    <t>Opex calibration to AIF total (1 = on, 0 = off)</t>
  </si>
  <si>
    <t>Net debt (long-term debt, net of cash), C$mm</t>
  </si>
  <si>
    <t>Common shares outstanding (mm)</t>
  </si>
  <si>
    <t>Q4/YE2025 MD&amp;A p.42: 2,085,972,000 at Mar 3 2026 (57.252mm options outstanding, not included)</t>
  </si>
  <si>
    <t>Midstream &amp; Refining segment value, C$mm (from section 10)</t>
  </si>
  <si>
    <t>Formula → section 10 (row 111). Midstream EV + NWRP equity − PV of NWRP toll obligation.</t>
  </si>
  <si>
    <t>Other adjustments (excl. leases &amp; NWRP toll), C$mm</t>
  </si>
  <si>
    <t>Placeholder: enter net of sign (negative = liability)</t>
  </si>
  <si>
    <t>Lease liabilities (total, incl. current portion), C$mm</t>
  </si>
  <si>
    <t>Q4/YE2025 FS note 5 and note 8</t>
  </si>
  <si>
    <t>2. Reserves: Company Gross 1P, Total Company (before royalties)</t>
  </si>
  <si>
    <t>Product</t>
  </si>
  <si>
    <t>Reserves</t>
  </si>
  <si>
    <t>Unit</t>
  </si>
  <si>
    <t>Segment</t>
  </si>
  <si>
    <t>Check vs Reserve Life Table A (should be 0)</t>
  </si>
  <si>
    <t>Sensitized reserves</t>
  </si>
  <si>
    <t>MMbbl</t>
  </si>
  <si>
    <t>C</t>
  </si>
  <si>
    <t>AIF p.24, Summary of Company Gross Reserves, Total Company, Total Proved</t>
  </si>
  <si>
    <t>T</t>
  </si>
  <si>
    <t>M</t>
  </si>
  <si>
    <t>Bcf</t>
  </si>
  <si>
    <t>Total 1P (MMBOE, gas at 6:1)</t>
  </si>
  <si>
    <t>AIF: 15,910 MMBOE</t>
  </si>
  <si>
    <t>Segments: C = Conventional E&amp;P (incl. Offshore Africa), T = Thermal In Situ, M = Oil Sands Mining &amp; Upgrading</t>
  </si>
  <si>
    <t>3. Reserve Life Index by segment (1P RLI derived from company-disclosed 2P RLI)</t>
  </si>
  <si>
    <t>1P reserves (MMBOE)</t>
  </si>
  <si>
    <t>2P reserves (MMBOE)</t>
  </si>
  <si>
    <t>2P RLI (yrs, disclosed)</t>
  </si>
  <si>
    <t>1P RLI (yrs) = 2P RLI × 1P/2P</t>
  </si>
  <si>
    <t>ADR half-life helper</t>
  </si>
  <si>
    <t>Sensitized 1P RLI</t>
  </si>
  <si>
    <t>Sensitized ADR half-life</t>
  </si>
  <si>
    <t>Conventional E&amp;P</t>
  </si>
  <si>
    <t>2P reserves: section 13.2, built from the 2P product rows. Previously typed as 6,936 MMBOE, which omitted 56 MMBOE of Offshore Africa light &amp; medium crude.</t>
  </si>
  <si>
    <t>Thermal In Situ</t>
  </si>
  <si>
    <t>2P reserves: AIF p.24 Total Proved+Probable; 2P RLI: CNRL Corporate Presentation Apr 2026 p.54</t>
  </si>
  <si>
    <t>Oil Sands Mining &amp; Upgrading</t>
  </si>
  <si>
    <t>Company-wide 1P RLI (model, yrs) = 1P reserves ÷ Year-1 production</t>
  </si>
  <si>
    <t>CNRL-reported 1P RLI: 31 yrs (Q4/YE2025 release). Model should reproduce ~31.</t>
  </si>
  <si>
    <t>4. Benchmark price deck: 3-consultant average (Sproule ERCE / GLJ / McDaniel), Dec 31 2025</t>
  </si>
  <si>
    <t>Benchmark</t>
  </si>
  <si>
    <t>2026</t>
  </si>
  <si>
    <t>2027</t>
  </si>
  <si>
    <t>2028</t>
  </si>
  <si>
    <t>2029</t>
  </si>
  <si>
    <t>2030</t>
  </si>
  <si>
    <t>AIF p.35 "Pricing Assumptions"; FX from p.36 note 6. +2%/yr after 2030 (cell B10).</t>
  </si>
  <si>
    <t>Canadian Light Sweet / MSW (C$/bbl)</t>
  </si>
  <si>
    <t>5. 2025 actual benchmark averages (base year for differentials)</t>
  </si>
  <si>
    <t>WTI 2025 (US$/bbl)</t>
  </si>
  <si>
    <t>Q4/YE2025 MD&amp;A p.9, year ended</t>
  </si>
  <si>
    <t>FX 2025 (C$ per US$)</t>
  </si>
  <si>
    <t>Derived: CNRL dual-currency cost disclosures, e.g. Primary Heavy opex $16.68 (US$11.93) → 1.398. Not a directly disclosed FX rate.</t>
  </si>
  <si>
    <t>WTI 2025 (C$/bbl)</t>
  </si>
  <si>
    <t>formula</t>
  </si>
  <si>
    <t>WCS differential to WTI 2025 (US$/bbl)</t>
  </si>
  <si>
    <t>Q4/YE2025 MD&amp;A p.9 (year ended)</t>
  </si>
  <si>
    <t>WCS 2025 (C$/bbl)</t>
  </si>
  <si>
    <t>CLS/MSW 2025 (C$/bbl)</t>
  </si>
  <si>
    <t>DERIVED (lower confidence): 2025 WTI in C$ + the AIF forecast 2026 CLS-to-WTI(C$) spread (−4.80). No disclosed 2025 CLS average in CNRL filings. [Fixed: previously referenced the 2027 column.]</t>
  </si>
  <si>
    <t>Edmonton C5+ 2025 (C$/bbl)</t>
  </si>
  <si>
    <t>DERIVED (lower confidence): same method as CLS, using AIF 2026 C5+ − WTI(C$) spread (−2.33). [Fixed: previously referenced the 2027 column.]</t>
  </si>
  <si>
    <t>AECO 2025 (C$/GJ)</t>
  </si>
  <si>
    <t>Q4/YE2025 MD&amp;A p.9</t>
  </si>
  <si>
    <t>AECO 2025 (C$/MMBtu): ×1.05506</t>
  </si>
  <si>
    <t>GJ→MMBtu conversion; Mcf treated ≈ MMBtu (approximation)</t>
  </si>
  <si>
    <t>6. 2025 realized prices &amp; differentials by product (drives forward realized price = reference benchmark ± differential)</t>
  </si>
  <si>
    <t>2025 realized (net of blending)</t>
  </si>
  <si>
    <t>2025 transportation</t>
  </si>
  <si>
    <t>Net of transport</t>
  </si>
  <si>
    <t>2025 reference benchmark</t>
  </si>
  <si>
    <t>Differential</t>
  </si>
  <si>
    <t>Type</t>
  </si>
  <si>
    <t>Reference / source</t>
  </si>
  <si>
    <t>add</t>
  </si>
  <si>
    <t>CLS. Realized: AIF p.36 note 4; transport: AIF p.48</t>
  </si>
  <si>
    <t>WCS (AIF p.35 note 1). Realized p.36; transport p.48</t>
  </si>
  <si>
    <t>WCS. p.36 / p.48</t>
  </si>
  <si>
    <t>WCS. p.36 / p.50 (AOSP, from Nov 1 2025)</t>
  </si>
  <si>
    <t>CLS per AIF p.35 note 1 (SCO priced off CLS, not WTI). p.36 / p.50</t>
  </si>
  <si>
    <t>ratio</t>
  </si>
  <si>
    <t>Edmonton C5+; NGL basket priced as % of C5+. p.36 / p.48</t>
  </si>
  <si>
    <t>AECO (C$/MMBtu≈Mcf). p.36 / p.48</t>
  </si>
  <si>
    <t>Revenue is modeled NET of transportation because AIF FNR revenue uses reference prices "adjusted for quality and transportation" (p.36 note 3). Do not deduct transport again in opex.</t>
  </si>
  <si>
    <t>7. Royalty rate &amp; operating cost by product: 2025 actuals (AIF Production History &amp; Netbacks, pp.48-50)</t>
  </si>
  <si>
    <t>Royalty ($/unit)</t>
  </si>
  <si>
    <t>Sales price ($/unit)</t>
  </si>
  <si>
    <t>Opex ($/unit, 2025)</t>
  </si>
  <si>
    <t>Source / note</t>
  </si>
  <si>
    <t>AIF p.48 (NA E&amp;P), p.50 (OSM&amp;U), year ended 2025. Opex escalated per B8:B9. Royalty % held flat (Crown royalties are actually price/payout-sensitive → calibration).</t>
  </si>
  <si>
    <t>8. Future development capital &amp; ADR: AIF Total Company 1P (undiscounted, C$mm)</t>
  </si>
  <si>
    <t>Item</t>
  </si>
  <si>
    <t>Thereafter</t>
  </si>
  <si>
    <t>Development capital (AIF Table B phasing)</t>
  </si>
  <si>
    <t>AIF p.38. "Thereafter" allocated across 2031+ pro-rata to modeled BOE production (assumption).</t>
  </si>
  <si>
    <t>ADR: total (existing + future development)</t>
  </si>
  <si>
    <t>AIF p.33 FNR table. Allocated to segments pro-rata to 1P reserves; spent evenly over the 2nd half of each segment life (assumption).</t>
  </si>
  <si>
    <t xml:space="preserve">  of which: existing development (= balance-sheet ARO) / future development</t>
  </si>
  <si>
    <t>22,317 / 1,552</t>
  </si>
  <si>
    <t>AIF p.33 FNR table. Same timing treatment.</t>
  </si>
  <si>
    <t>9. AIF cross-check targets: Total Company, Total Proved (1P), C$mm</t>
  </si>
  <si>
    <t>FNR before income taxes (undiscounted, incl. ADR)</t>
  </si>
  <si>
    <t>AIF pp.31-33 (Summary of NPV of FNR; FNR table)</t>
  </si>
  <si>
    <t>Development costs (undiscounted)</t>
  </si>
  <si>
    <t>ADR total (undiscounted)</t>
  </si>
  <si>
    <t>FNR after income taxes (undiscounted)</t>
  </si>
  <si>
    <t>10. Midstream &amp; Refining segment (valued outside the reserves DCF)</t>
  </si>
  <si>
    <t>Midstream (pipelines + Primrose cogen) revenue, 2025</t>
  </si>
  <si>
    <t>Q4/YE2025 MD&amp;A p.33 "Midstream activities" product sales</t>
  </si>
  <si>
    <t>Midstream operating expense, 2025</t>
  </si>
  <si>
    <t>MD&amp;A p.33 "Midstream activities" expense</t>
  </si>
  <si>
    <t>Midstream EBITDA, 2025</t>
  </si>
  <si>
    <t>EV/EBITDA multiple applied to midstream</t>
  </si>
  <si>
    <t>Assumption: contracted pipeline/cogen assets; peer midstream range ~8-12x. Flex here.</t>
  </si>
  <si>
    <t>Midstream enterprise value (C$mm)</t>
  </si>
  <si>
    <t>NWRP 50% equity interest (C$mm)</t>
  </si>
  <si>
    <t>Carried at $nil; $496mm cumulative unrecognized equity losses; segment EBITDA negative (−$68mm 2025). Valued at zero. FS note 6 / MD&amp;A p.33.</t>
  </si>
  <si>
    <t>NWRP service-toll obligation: debt component (C$mm, undiscounted)</t>
  </si>
  <si>
    <t>2031-2058 (28 yrs, thereafter ÷ 28)</t>
  </si>
  <si>
    <t>Toll payment</t>
  </si>
  <si>
    <t>FS note 15 / MD&amp;A p.42: $116/95/96/95/95mm 2026-30, $3,878mm thereafter to 2058 (incl. $1,792mm interest). Thereafter spread flat 2031-2058 (assumption).</t>
  </si>
  <si>
    <t>Discount rate for toll obligation (debt-like)</t>
  </si>
  <si>
    <t>≈ CNRL cost of debt: interest $978mm ÷ avg debt &amp; leases $20,111mm (MD&amp;A p.35) ≈ 4.9%. Debt-like fixed obligation → discount at cost of debt, not 10%.</t>
  </si>
  <si>
    <t>PV of toll obligation (C$mm)</t>
  </si>
  <si>
    <t>End-of-year discounting; 2031-58 as a 28-yr annuity deferred 5 yrs. Undiscounted total = $4,375mm.</t>
  </si>
  <si>
    <t>Net Midstream &amp; Refining contribution to NAV (C$mm)</t>
  </si>
  <si>
    <t>11. North Sea ARO (not covered by the reserves FNR)</t>
  </si>
  <si>
    <t>Total consolidated ARO, Dec 31 2025 (C$mm)</t>
  </si>
  <si>
    <t>Q4/YE2025 FS note 8</t>
  </si>
  <si>
    <t>North Sea share of ARO (see derivation, section 17)</t>
  </si>
  <si>
    <t>Set to 17%, the disclosed-evidence figure from section 17 (ARO accretion by segment, 40-F FY2025: North Sea accretion / total accretion, averaged over 2024-25). No longer includes the extra conservatism margin discussed in that section; the 25% alternative and its reasoning are kept there for reference.</t>
  </si>
  <si>
    <t>North Sea ARO deducted in NAV bridge (C$mm)</t>
  </si>
  <si>
    <t>Not a double-count: the AIF FNR deducts ADR for "North America and Offshore Africa" only (AIF p.35 note 1). North Sea reserves were de-booked at YE2025, so neither North Sea cash flow nor its decommissioning cost enters the reserves DCF, but the obligation is real and ongoing.</t>
  </si>
  <si>
    <t>12. PV of corporate G&amp;A (excluded from FNR by NI 51-101 convention)</t>
  </si>
  <si>
    <t>Administration expense, 2025 (C$mm)</t>
  </si>
  <si>
    <t>Q4/YE2025 FS note 16, non-segmented</t>
  </si>
  <si>
    <t>Share-based compensation, 2025 (C$mm)</t>
  </si>
  <si>
    <t>Total annual corporate G&amp;A (C$mm)</t>
  </si>
  <si>
    <t>Years modeled (= company 1P reserve life, from B37)</t>
  </si>
  <si>
    <t>1P block. Uses the 1P reserve life (B37), the 1P discount rate (B6) and the 1P effective tax rate (B11). The 2P case has its own parallel block at section 13.6 using B150, B171 and B170. Nothing here is shared with the 2P engine.</t>
  </si>
  <si>
    <t>G&amp;A inflation</t>
  </si>
  <si>
    <t>Links to cost inflation (section 1)</t>
  </si>
  <si>
    <t>Links to discount rate (section 1)</t>
  </si>
  <si>
    <t>Tax rate applied (G&amp;A is deductible)</t>
  </si>
  <si>
    <t>PV of corporate G&amp;A, after tax (C$mm)</t>
  </si>
  <si>
    <t>13. PROVED + PROBABLE (2P) PARALLEL INPUTS</t>
  </si>
  <si>
    <t>Mirrors sections 2, 3, 8, 9 and 12 for the 2P case. Sections 1, 4, 5, 6, 7, 10 and 11 (price deck, differentials, unit royalty and opex rates, bridge items) are shared with 1P and are not restated here.</t>
  </si>
  <si>
    <t>13.1 Reserves: Company Gross 2P, Total Company (before royalties)</t>
  </si>
  <si>
    <t>Check vs Reserves Data Table A (should be 0)</t>
  </si>
  <si>
    <t>AIF p.24, Summary of Company Gross Reserves, Total Company, Total Proved + Probable</t>
  </si>
  <si>
    <t>Total 2P (MMBOE, gas at 6:1)</t>
  </si>
  <si>
    <t>AIF: 20,750 MMBOE</t>
  </si>
  <si>
    <t>13.2 Reserve Life Index by segment (2P RLI is disclosed; no derivation required)</t>
  </si>
  <si>
    <t>Sensitized 2P RLI</t>
  </si>
  <si>
    <t>2P RLI: CNRL Corporate Presentation Apr 2026 p.54. Segment reserves derived from 13.1.</t>
  </si>
  <si>
    <t>Company-wide 2P RLI (model, yrs) = 2P reserves / Year-1 production</t>
  </si>
  <si>
    <t>CNRL-reported 2P RLI: 40 yrs (Reserves Data Table C). Model should reproduce ~40.</t>
  </si>
  <si>
    <t>13.3 Future development capital &amp; ADR: AIF Total Company 2P</t>
  </si>
  <si>
    <t>AIF p.38, Table B, Total Proved + Probable, Total Company</t>
  </si>
  <si>
    <t>AIF p.33. Existing development 22,921 + future development 2,201.</t>
  </si>
  <si>
    <t>13.4 AIF cross-check targets: Total Company, Total Proved + Probable (2P)</t>
  </si>
  <si>
    <t>AIF p.33, Future Net Revenue table, Total Company 2P</t>
  </si>
  <si>
    <t>NPV @10% before tax, 2P (AIF)</t>
  </si>
  <si>
    <t>CNRL 2025 Fourth Quarter and Year End Results, Mar 5, 2026: "the net present value of future net revenues, before income tax, discounted at 10%, is ... $191.0 billion for total proved plus probable reserves." Matches the AIF's underlying Form 51-101F1 figure.</t>
  </si>
  <si>
    <t>NPV @10% after tax, 2P (AIF) - not extracted</t>
  </si>
  <si>
    <t>Not sourced. The Q4/25 press release discloses before-tax NPV10 only. The after-tax figure exists in the full Form 51-101F1 statement (part of the AIF) but was not reachable through available sources. Populate this cell from the F1 statement's after-tax table if available; the cross-check at NAV Model 2P!C100 will pick it up automatically.</t>
  </si>
  <si>
    <t>13.5 Derived rates (2P)</t>
  </si>
  <si>
    <t>AIF 2P income taxes / 2P FNR before tax. Mirrors the 1P method in section 1.</t>
  </si>
  <si>
    <t>Discount rate ('2P Sensitivities'!B7 links here)</t>
  </si>
  <si>
    <t>Kept separate from the 1P discount rate so each sensitivity sheet drives its own model.</t>
  </si>
  <si>
    <t>13.6 PV of corporate G&amp;A over the 2P reserve life</t>
  </si>
  <si>
    <t>Years modeled (= company 2P reserve life, from B150)</t>
  </si>
  <si>
    <t>2P block, independent of section 12. Longer reserve life means more years of corporate overhead, so the 2P G&amp;A deduction is larger than the 1P deduction.</t>
  </si>
  <si>
    <t>Same growing-annuity formula as section 12, over the longer 2P reserve life.</t>
  </si>
  <si>
    <t>14. FIELD-LIFE CALIBRATION TO EVALUATOR REVENUE</t>
  </si>
  <si>
    <t>Flat production over the disclosed reserve life reproduces booked volumes exactly and reproduces the reported RLI, but not the evaluator's year-by-year production forecast, which is not published. Because the price deck escalates 2%/yr after 2030, any difference in field life feeds straight into undiscounted revenue. One factor per case, back-solved so that modelled revenue equals the filed total, absorbs that difference. It scales all three segment lives; booked volumes still tie to zero because production is reserves divided by life. Set the switch to 0 to revert to the uncalibrated disclosed lives.</t>
  </si>
  <si>
    <t>Apply field-life calibration (1 = on, 0 = off)</t>
  </si>
  <si>
    <t>1P field-life factor (frozen, base case)</t>
  </si>
  <si>
    <t>Back-solved at base case so modelled undiscounted revenue equals the AIF total. Frozen so the sensitivity data tables do not re-solve it on every pass.</t>
  </si>
  <si>
    <t>2P field-life factor (frozen, base case)</t>
  </si>
  <si>
    <t>Back-solved at base case so modelled undiscounted revenue equals the AIF total. Corroborated independently: it reproduces 2P reserves divided by the low end of CNRL's 2026 total production guidance (Reserves Data Table E). Frozen so the sensitivity tables do not re-solve it.</t>
  </si>
  <si>
    <t>Check: 1P modelled revenue / AIF revenue (target 1.0000)</t>
  </si>
  <si>
    <t>Check: 2P modelled revenue / AIF revenue (target 1.0000)</t>
  </si>
  <si>
    <t>15. PRICE DECK SCENARIOS</t>
  </si>
  <si>
    <t>Two decks feed the row above (section 4, B41:F46), which both NAV Model sheets read unchanged. The selector below chooses which one is active. Both decks are full 2026-2030 forecasts from named evaluators, on the same escalate-2%-thereafter convention -- neither is a spot-price extrapolation.</t>
  </si>
  <si>
    <t>Active deck (1 = AIF reserve-report, Dec 31 2025; 2 = 3-Consultant-Average, June 2026)</t>
  </si>
  <si>
    <t>Active deck's 2030 WTI anchor (read-only; matches whichever deck is selected)</t>
  </si>
  <si>
    <t>Table 1 on both Sensitivities sheets sweeps an absolute WTI level (B4) independent of this selector -- see the note on B5 there.</t>
  </si>
  <si>
    <t>15a. AIF deck - reserve-report (AIF p.35; unchanged; identical to section 4 as filed)</t>
  </si>
  <si>
    <t>15b. 3-Consultant-Average - Sproule ERCE, GLJ, McDaniel, mid-year update (2026-06)</t>
  </si>
  <si>
    <t>Source: "2026-06 3-Consultant-Average.xlsx" (Sproule ERCE, GLJ, McDaniel), user-supplied, June 2026 mid-year update. WTI, FX from Table 1 "Domestic Oil Consensus," row "2026 6 mo. Est" through 2030. WCS = Hardisty/WCS 20.5 API line, same table. Canadian Light Sweet = same table. Edmonton C5+ = "Pentanes+ Par $/Bbl," Table 5 "Par Prices Consensus." AECO = "AECO-C Spot $/MMbtu," Table 2 "Domestic Gas Consensus." Same 2%/yr escalation convention after 2030 as the AIF deck (stated on the source file). This deck comes from the same three evaluators who built the AIF deck, doing a scheduled mid-year update -- it is a full 5-year forecast, not an extrapolation from 1-2 market quotes.</t>
  </si>
  <si>
    <t>Active deck name (for display)</t>
  </si>
  <si>
    <t>16. VALUATION-DATE ROLL-FORWARD (memo - swaps balance-sheet inputs only)</t>
  </si>
  <si>
    <t>The reserve DCF above still runs on Dec 31, 2025 volumes and is not re-forecast here - reserve depletion since then (~1.4% of 2P, per H1/26 disclosed production) and the Peace River acquisition are not captured. What IS updated: net debt and share count, both quarterly and both disclosed. This gives a like-for-like NAV at a later date without waiting for the next AIF, at the cost of leaving the DCF's volumes and cost base eight months stale. Re-run the full model once the next AIF or a materially different price deck warrants it.</t>
  </si>
  <si>
    <t>Valuation date</t>
  </si>
  <si>
    <t>Net debt, Dec 31 2025 (used in the NAV bridge above), C$mm</t>
  </si>
  <si>
    <t>Net debt, latest available, C$mm</t>
  </si>
  <si>
    <t>CNRL Q2/26 results, Aug 6 2026: net debt $14.5bn at June 30, 2026 (down from $15.944bn at Dec 31, 2025).</t>
  </si>
  <si>
    <t>Shares outstanding, Dec 31 2025 (used in the NAV bridge above), mm</t>
  </si>
  <si>
    <t>Shares outstanding, latest available, mm</t>
  </si>
  <si>
    <t>Derived, not directly disclosed: Q2/26 adjusted net earnings $4.6bn / adjusted EPS $2.20 = ~2,091mm. That is a Q2 weighted-average count, not a period-end count, and buybacks continued through Q2 and into Q3 - treat as approximate. Replace with the exact count from the Q2/26 MD&amp;A when available.</t>
  </si>
  <si>
    <t>Net debt reduction since Dec 31, 2025, C$mm</t>
  </si>
  <si>
    <t>Rolled 1P equity value (Dec 31 equity + net debt reduction), C$mm</t>
  </si>
  <si>
    <t>Rolled 1P NAV per share, C$ (latest share count)</t>
  </si>
  <si>
    <t>Rolled 2P equity value (Dec 31 equity + net debt reduction), C$mm</t>
  </si>
  <si>
    <t>Rolled 2P NAV per share, C$ (latest share count)</t>
  </si>
  <si>
    <t>17. NORTH SEA ARO SHARE - DERIVATION AND DEFENCE OF THE 25% ESTIMATE</t>
  </si>
  <si>
    <t>CNRL does not disclose the asset retirement obligation split by segment on the balance sheet. It does disclose ARO ACCRETION by segment in the FASB Topic 932 supplement to the 40-F. Accretion is the unwinding of the discount, i.e. the segment's ARO balance multiplied by the discount rate. Since a single weighted-average rate is applied across the group, the accretion split is a direct read on the balance split. That is the best available evidence and it is disclosed, not assumed.</t>
  </si>
  <si>
    <t>17a. ARO accretion by segment (C$mm) - 40-F FY2025, Topic 932 supplement</t>
  </si>
  <si>
    <t>North America</t>
  </si>
  <si>
    <t>North Sea</t>
  </si>
  <si>
    <t>Offshore Africa</t>
  </si>
  <si>
    <t>Total</t>
  </si>
  <si>
    <t>North Sea share</t>
  </si>
  <si>
    <t>40-F FY2025, Results of Operations from Crude Oil and Natural Gas Producing Activities, ARO accretion line</t>
  </si>
  <si>
    <t>Implied North Sea share of ARO balance (2024-25 average)</t>
  </si>
  <si>
    <t>2023 excluded: predates the Ninian and T-Block cost revisions.</t>
  </si>
  <si>
    <t>17b. Cross-checks and why the model deducts more than the evidence implies</t>
  </si>
  <si>
    <t>Q4/YE2025 FS note 8.</t>
  </si>
  <si>
    <t>North Sea ARO at the accretion-implied share (C$mm)</t>
  </si>
  <si>
    <t>The disclosed-evidence answer, before any conservatism.</t>
  </si>
  <si>
    <t>Q3/25 charge: added Ninian + T-Block abandonment cost, pre-tax (C$mm)</t>
  </si>
  <si>
    <t>Q3/25 report: Ninian $734mm and T-Block $524mm, both stated net of deferred tax recoveries of $359mm and $204mm. Recognised late in 2025, so 2025 average-balance accretion only partly reflects it. This is the main reason to sit above the accretion read.</t>
  </si>
  <si>
    <t>UK current tax + PRT recovery rate on abandonment spend</t>
  </si>
  <si>
    <t>CNRL states abandonment expenditures are before current income tax recoveries, refundable at approximately 23% in Canada and 70% to 75% in the UK North Sea. Midpoint used.</t>
  </si>
  <si>
    <t>North Sea ARO after UK tax relief, at the accretion share (C$mm)</t>
  </si>
  <si>
    <t>What the obligation is arguably worth on an after-tax basis. Shown for information; the model does NOT take this credit.</t>
  </si>
  <si>
    <t>17c. Conclusion</t>
  </si>
  <si>
    <t>Model deduction: share applied</t>
  </si>
  <si>
    <t>Model deduction: C$mm</t>
  </si>
  <si>
    <t>Excess over the accretion-implied gross figure (C$mm)</t>
  </si>
  <si>
    <t>Excess over the accretion-implied after-tax figure (C$mm)</t>
  </si>
  <si>
    <t>Cost of that conservatism, 2P NAV per share (C$)</t>
  </si>
  <si>
    <t>Update: B115 is now set to 17%, the accretion-implied figure derived above (average of the 2024 and 2025 North Sea accretion shares). The case for sitting above 17% is retained below for transparency, since the Ninian/T-Block cost revisions and the absence of any UK tax credit both argue for a higher figure: the disclosed accretion split implies roughly 17% of the group ARO sits in the North Sea; the Q1O3/25 charge of C$1,258mm pre-tax for Ninian and T-Block is only partly reflected in a full-year average-balance accretion figure; and North Sea decommissioning estimates have been revised upward in 2023, 2024 and 2025. Model deducts the disclosed-evidence figure (17%) rather than the higher estimate, on the view that a sourced number should be preferred to a margin of conservatism layered on top of it. Change B115 to 0.25 to restore the more conservative case; the cost of doing so is quantified in the rows above.</t>
  </si>
  <si>
    <t>18. THE NPV10 GAP: WHAT IT IS, WHAT IT ISN'T, AND WHAT'S LEFT UNEXPLAINED</t>
  </si>
  <si>
    <t>Every undiscounted line ties to the filed total: reserves, revenue, royalties, operating costs, development capital, ADR, and pre- and post-tax FNR. The gap is entirely in WHEN the cash arrives, not how much.</t>
  </si>
  <si>
    <t>18a. Pre-tax comparison (the correct starting point)</t>
  </si>
  <si>
    <t>NPV10 before tax, C$mm</t>
  </si>
  <si>
    <t>1P and 2P are both roughly 14% light before any tax is applied. This is the real, unadorned starting point.</t>
  </si>
  <si>
    <t>18b. Why the after-tax gap used to equal the pre-tax gap exactly</t>
  </si>
  <si>
    <t>Before section 19's fix, tax was MAX(0,pre-tax CF) times one flat rate, every year. Multiplying every year's cash flow by the same constant cannot change the shape of the stream, so the after-tax PV/undiscounted ratio was mathematically forced to equal the pre-tax ratio. The old after-tax gap (-14.67% on 1P) was never independent evidence of "tax timing" -- it was the pre-tax gap, restated. The real question was always: what moves cash flow earlier or later, pre-tax?</t>
  </si>
  <si>
    <t>18c. Tested and ruled out: production decline shape</t>
  </si>
  <si>
    <t>A uniform company-wide decline can hit both revenue and NPV10 only at a ~6%/yr rate on a 27% shorter life, which requires year-one production near 1,828 MBOE/d -- about 10% above the top of CNRL's own 2026 guidance (1,637-1,682 MBOE/d). Rejected on that basis alone. A SEGMENT-SPECIFIC version was tested next: decline only Conventional E&amp;P (the smallest, highest-decline segment, ~29% of 1P reserves) while holding Thermal In Situ and Oil Sands Mining flat, matching CNRL's own language -- "long life low decline" and "zero decline SCO" -- for those assets. Result: even an extreme decline on Conventional E&amp;P alone moves 1P NPV10 from -14.61% to -14.62%. The segments large enough to matter are the ones the company itself describes as flat, so a decline-curve explanation is inconsistent with CNRL's own disclosure, not just impractical.</t>
  </si>
  <si>
    <t>19. TAX TIMING: CCA-STYLE DECLINING-BALANCE POOL (replaces the flat effective rate)</t>
  </si>
  <si>
    <t>18d. Leading hypothesis, not independently calibrable: post-payout oil sands royalties</t>
  </si>
  <si>
    <t>This AIF states Alberta oil sands royalties run on a sliding scale: 1% to 9% of gross revenue PRE-payout, then 25% to 40% of net revenue POST-payout. This model spreads the royalty burden proportionally to revenue in every year, calibrated only to hit the filed total. If CNRL's major oil sands projects are still working through payout on a blended portfolio basis, real royalties run BELOW the model's flat rate early and ABOVE it late -- exactly the shape needed to lift NPV without touching the undiscounted total. Tested numerically: a payout ramp on the oil sands segments has the right sign and, depending on the assumed payout year, more than enough magnitude to close the gap. It is not implemented here, because the payout timing for a multi-decade, multi-project portfolio (Horizon, AOSP, Muskeg River, Jackpine, Primrose, Kirby, Jackfish, Pike, and others, each on its own schedule) is not disclosed with enough precision to choose a year rather than fit one. Adding it with a chosen payout year would be curve-fitting dressed as mechanics -- the same mistake as the rejected decline-curve fit, just with better sourcing on the mechanism.</t>
  </si>
  <si>
    <t>Opening tax pool balance, Dec 31 2025 (C$mm)</t>
  </si>
  <si>
    <t>Proxy for opening UCC: North America + Offshore Africa net capitalized costs at Dec 31 2025 (North Sea excluded - its reserves are de-booked and its ARO is handled separately in section 11). 40-F FY2025, Capitalized Costs Related to Crude Oil and Natural Gas Activities: $78,560mm + $1,281mm = $79,841mm. This is an IFRS net-book-value proxy for the tax pool, not the actual CRA UCC balance, which CNRL does not disclose; the two normally track each other reasonably closely for a capital-intensive, continuously-reinvesting producer.</t>
  </si>
  <si>
    <t>18e. Where this leaves the model</t>
  </si>
  <si>
    <t>CRA Class 41 (mining and specified oil sands/processing assets), 25% declining balance. CNRL's actual pool structure blends several CCA classes plus COGPE/CDE/CEE resource pools at different rates; a single blended pool at the dominant class rate is a simplification, tested for sensitivity below.</t>
  </si>
  <si>
    <t>Pre-tax NPV10 is left at its calibrated-cash-flow value, roughly 14% below the filed figure on both 1P and 2P, disclosed and explained rather than fitted closed. Section 19's CCA tax pool is a genuine, separately sourced improvement to tax TIMING (not a fix for this gap) and narrows the AFTER-TAX 1P variance to -4.80% by introducing real shielding shape -- see section 19. The same mechanism has not yet been re-run for 2P's after-tax figure since the 2P after-tax AIF target is not sourced (18a); once obtained, the same comparison can be made. Presenting a 14% pre-tax variance with a named, sourced, disclosed cause is a stronger position for review than a curve quietly tuned to erase it.</t>
  </si>
  <si>
    <t>Combined federal (15%) + Alberta (8%) statutory corporate rate, approximately 23%. Distinct from the ~22.4% EFFECTIVE rate used elsewhere in this model, which nets pre-tax cash flow directly to filed tax and already embeds shelter, credits and provincial mix; this cell is the marginal rate applied to CCA-adjusted taxable income before the schedule is scaled to the filed total.</t>
  </si>
  <si>
    <t>CNRL Reserves Summary</t>
  </si>
  <si>
    <t>As of December 31, 2025, National Instrument 51-101, Forecast Prices and Costs</t>
  </si>
  <si>
    <t>Source: Canadian Natural Resources Limited, 2025 Annual Information Form (filed March 25, 2026), "Form 51-101F1 Statement of Reserves Data and Other Information," pp. 24-25. IQREs: Sproule International Limited (Sproule ERCE) and GLJ Ltd.; effective date Dec 31, 2025; report dated Feb 9, 2026.</t>
  </si>
  <si>
    <t>Legend: PDP = Proved Developed Producing  |  PDNP = Proved Developed Non-Producing  |  PUD = Proved Undeveloped  |  1P = Total Proved  |  2P = Total Proved + Probable</t>
  </si>
  <si>
    <t>Table A: Summary of Company Gross Reserves (before royalties)</t>
  </si>
  <si>
    <t>Reserve Category</t>
  </si>
  <si>
    <t>Light &amp; Medium
Crude Oil (MMbbl)</t>
  </si>
  <si>
    <t>Primary Heavy
Crude Oil (MMbbl)</t>
  </si>
  <si>
    <t>Pelican Lake Heavy
Crude Oil (MMbbl)</t>
  </si>
  <si>
    <t>Thermal
Bitumen (MMbbl)</t>
  </si>
  <si>
    <t>Mining
Bitumen (MMbbl)</t>
  </si>
  <si>
    <t>Synthetic Crude
Oil - SCO (MMbbl)</t>
  </si>
  <si>
    <t>Natural Gas
(Bcf)</t>
  </si>
  <si>
    <t>NGLs
(MMbbl)</t>
  </si>
  <si>
    <t>Total
(MMBOE)</t>
  </si>
  <si>
    <t xml:space="preserve">  Developed Producing (PDP)</t>
  </si>
  <si>
    <t xml:space="preserve">  Developed Non-Producing (PDNP)</t>
  </si>
  <si>
    <t xml:space="preserve">  Undeveloped (PUD)</t>
  </si>
  <si>
    <t>Total Proved (1P)</t>
  </si>
  <si>
    <t xml:space="preserve">  Probable</t>
  </si>
  <si>
    <t>Total Proved + Probable (2P)</t>
  </si>
  <si>
    <t>North Sea (reserves de-booked in 2025; see note below)</t>
  </si>
  <si>
    <t>Total Company</t>
  </si>
  <si>
    <t>Note: North Sea reserves were fully de-booked as at Dec 31, 2025 as the reporting jurisdiction was determined no longer economic; four fields remain in production through the decommissioning phase (AIF, "Form 51-101F1," p.23).</t>
  </si>
  <si>
    <t>Table B: Summary of Company Net Reserves (after royalty burden)</t>
  </si>
  <si>
    <t>North Sea (reserves de-booked in 2025)</t>
  </si>
  <si>
    <t>Table C: Reserve Life Index (RLI)</t>
  </si>
  <si>
    <t>As Reported by Company (Total Company Gross, Year-End 2025)</t>
  </si>
  <si>
    <t>Total Proved Reserves (1P, MMBOE)</t>
  </si>
  <si>
    <t>Total Proved + Probable Reserves (2P, MMBOE)</t>
  </si>
  <si>
    <t>Total Proved Reserve Life Index (RLI)</t>
  </si>
  <si>
    <t>Total Proved + Probable Reserve Life Index (RLI)</t>
  </si>
  <si>
    <t>Source: Canadian Natural Resources Limited, 2025 Fourth Quarter and Year End Results press release (March 5, 2026), endnote 8, which defines RLI as the relevant reserves category "divided by the 2026 proved developed producing production forecast prepared by the IQREs". The April 2026 Corporate Presentation (p.54, note 1) states the same basis: year-end 2025 net reserves over estimated 2026 proved developed producing net production. The denominator is PDP production only, not total company production. See Table E below for what that means for this model.</t>
  </si>
  <si>
    <t>Model Cross-Check: Segment Reserve Life on the model's own segmentation (formula-linked to Table A and to both NAV engines)</t>
  </si>
  <si>
    <t>Total Proved
(1P, MMBOE)</t>
  </si>
  <si>
    <t>Total Proved+Probable
(2P, MMBOE)</t>
  </si>
  <si>
    <t>Year-1 Production
(MMBOE/yr)</t>
  </si>
  <si>
    <t>1P RLI
(model, yrs)</t>
  </si>
  <si>
    <t>2P RLI
(model, yrs)</t>
  </si>
  <si>
    <t>Year-1 Production
2P (MMBOE/yr)</t>
  </si>
  <si>
    <t>Conventional E&amp;P (incl. Offshore Africa)</t>
  </si>
  <si>
    <t>Total Company (sum of segments)</t>
  </si>
  <si>
    <t>Note: production basis = each engine's Year-1 (2026) production, column C of the NAV Model sheets. Segmentation matches the model (Conventional E&amp;P absorbs Offshore Africa; North Sea reserves are de-booked). This is a forward-looking RLI under the model's own production forecast, not a restatement of the company's trailing-actual figure above.</t>
  </si>
  <si>
    <t>Table D: Company-Disclosed Segment 2P RLI, with Derived 1P RLI</t>
  </si>
  <si>
    <t>Source: CNRL Corporate Presentation, April 2026, "Unparalleled Assets summary" p.54 (2P reserves &amp; 2P RLI by segment); Oil Sands Mining &amp; Upgrading figure cross-checked against p.46 (~8.6bn bbl 2P, ~41% of Total Company 2P, ties to Table A). 1P RLI is derived, not disclosed (see method note below).</t>
  </si>
  <si>
    <t>1P Reserves
(MMBOE)</t>
  </si>
  <si>
    <t>2P Reserves
(MMBOE)</t>
  </si>
  <si>
    <t>2P RLI
(company-disclosed)</t>
  </si>
  <si>
    <t>1P RLI
(derived)</t>
  </si>
  <si>
    <t>RLI = Reserves ÷ Production,</t>
  </si>
  <si>
    <t>Production rate has to be assumed constant</t>
  </si>
  <si>
    <t>RLI_1P / RLI_2P = Reserves_1P / Reserves_2P</t>
  </si>
  <si>
    <t>RLI_1P = RLI_2P × (Reserves_1P / Reserves_2P)</t>
  </si>
  <si>
    <t>Total (segments, cross-check)</t>
  </si>
  <si>
    <t>n/a: see Table C §1</t>
  </si>
  <si>
    <t>Note: segment &lt;-&gt; product mapping - Thermal In Situ = Thermal Bitumen column only; Oil Sands Mining &amp; Upgrading = Mining Bitumen + SCO; Conventional E&amp;P = Light &amp; Medium + Primary Heavy + Pelican Lake + NGLs + Gas/6, North America + Offshore Africa (Offshore Africa's crude oil and gas fold into this bucket; it holds no Thermal/Mining/SCO reserves). Reserve totals here run ~1% below the presentation's rounded disclosures (6.9 / 5.2 / 8.6 billion), consistent with rounding.</t>
  </si>
  <si>
    <t>Method - 1P RLI derived: RLI = Reserves / Production and both categories share the same production base, so 1P RLI = 2P RLI x (1P Reserves / 2P Reserves). Validated against the company-wide figures: 40 yrs x (15,910/20,750) = 30.7, against 31 yrs reported. The derivation inherits the PDP denominator from the disclosed 2P RLI, so the resulting segment lives are PDP-denominated as well. Table E reconciles them to a total-production basis.</t>
  </si>
  <si>
    <t>Table E: Reserve Life Index - definition, source, and reconciliation to this model</t>
  </si>
  <si>
    <t>CNRL divides reserves by a proved developed producing production forecast. This model produces every booked reserve category from year one, so its denominator is total production. The two ratios are not measured the same way, and the gap below is that definitional difference rather than a modelling error.</t>
  </si>
  <si>
    <t>1P</t>
  </si>
  <si>
    <t>2P</t>
  </si>
  <si>
    <t>Source / basis</t>
  </si>
  <si>
    <t>Company-reported RLI</t>
  </si>
  <si>
    <t>yrs</t>
  </si>
  <si>
    <t>Q4/YE2025 press release, Mar 5 2026, endnote 8 (PDP denominator)</t>
  </si>
  <si>
    <t>Reserves, Company Gross, YE2025</t>
  </si>
  <si>
    <t>MMBOE</t>
  </si>
  <si>
    <t>Table A above</t>
  </si>
  <si>
    <t>Implied PDP production denominator</t>
  </si>
  <si>
    <t>MBOE/d</t>
  </si>
  <si>
    <t>Reserves / reported RLI. Both cases imply the same ~1,410 MBOE/d PDP rate.</t>
  </si>
  <si>
    <t>CNRL 2026 total production guidance: low / high / mid</t>
  </si>
  <si>
    <t>Q4/YE2025 press release, Mar 5 2026, guidance raised to 1,615-1,665 MBOE/d. Contemporaneous with the Dec 31 2025 reserve report.</t>
  </si>
  <si>
    <t>Implied PDP denominator as % of guided total</t>
  </si>
  <si>
    <t>%</t>
  </si>
  <si>
    <t>The reported RLI denominator is roughly 86% of the production CNRL guides to.</t>
  </si>
  <si>
    <t>Reserve life on guided TOTAL production</t>
  </si>
  <si>
    <t>Reserves / guided total production. The like-for-like comparison for this model.</t>
  </si>
  <si>
    <t>Model Year-1 production</t>
  </si>
  <si>
    <t>NAV Model sheets, row 36. The 2P figure lands inside CNRL's guidance range.</t>
  </si>
  <si>
    <t>Model implied reserve life</t>
  </si>
  <si>
    <t>Reserves / Year-1 production, on a total-production denominator.</t>
  </si>
  <si>
    <t>Variance vs company-reported RLI</t>
  </si>
  <si>
    <t>Not like-for-like: the reported figure uses a PDP denominator.</t>
  </si>
  <si>
    <t>Variance vs life on guided total production</t>
  </si>
  <si>
    <t>Like-for-like. This is the variance that matters.</t>
  </si>
  <si>
    <t>Conclusion: the 2P field life used in this model is not a departure from CNRL disclosure. The field-life calibration factor was solved only to reproduce the evaluator's filed undiscounted revenue, with no reference to production guidance, and it independently lands on 2P reserves divided by the low end of CNRL's own 2026 total production guidance. The reported 40-year 2P RLI is longer only because its denominator excludes the roughly 14% of guided production that comes from non-producing and undeveloped reserves. The 1P case sits above the guided-total basis because a proved-only forecast produces at a lower rate than the company's actual plan, which includes probable volumes from the same wells.</t>
  </si>
  <si>
    <t>CNRL Future Costs &amp; Net Revenue</t>
  </si>
  <si>
    <t>As of December 31, 2025, National Instrument 51-101, Forecast Prices and Costs, Undiscounted unless noted</t>
  </si>
  <si>
    <t>Source: Canadian Natural Resources Limited, 2025 Annual Information Form (filed March 25, 2026), "Form 51-101F1 Statement of Reserves Data," "Future Net Revenue Tables and Notes" and "Future Development Costs," pp. 33 &amp; 38. Pricing basis: 3-consultant-average forecast (Sproule ERCE, GLJ, McDaniel &amp; Associates), dated Dec 31, 2025.</t>
  </si>
  <si>
    <t>⚠ Note: these figures are computed on the AIF's own 3-consultant-average price deck (e.g., 2026 WTI US$59.92/bbl, WCS C$65.13/bbl), which differs from the price deck already entered on Sheet1 (2026 WTI US$82.77/bbl, WCS C$94.09/bbl). Revenue, royalties and income taxes below will NOT reconcile with a model built off Sheet1 prices. Production Costs (opex) and Development Costs (capex) are largely volume-driven and less price-sensitive, so those two lines are more directly reusable.</t>
  </si>
  <si>
    <t>Table A: Total Future Net Revenue (Undiscounted), $ millions</t>
  </si>
  <si>
    <t>Line Item</t>
  </si>
  <si>
    <t>North America
1P</t>
  </si>
  <si>
    <t>North America
2P</t>
  </si>
  <si>
    <t>Offshore Africa
1P</t>
  </si>
  <si>
    <t>Offshore Africa
2P</t>
  </si>
  <si>
    <t>Total Company
1P</t>
  </si>
  <si>
    <t>Total Company
2P</t>
  </si>
  <si>
    <t>Revenue</t>
  </si>
  <si>
    <t>Royalties</t>
  </si>
  <si>
    <t>Production Costs (opex)</t>
  </si>
  <si>
    <t>Development Costs (future capex)</t>
  </si>
  <si>
    <t>ADR Costs: Future Development</t>
  </si>
  <si>
    <t>FNR Before Income Taxes, Excl. ADR on Existing Development</t>
  </si>
  <si>
    <t>ADR Costs: Existing Development (= Financial Statement ARO)</t>
  </si>
  <si>
    <t>FNR Before Income Taxes, Incl. ADR on Existing Development</t>
  </si>
  <si>
    <t>Income Taxes</t>
  </si>
  <si>
    <t>FNR After Income Taxes</t>
  </si>
  <si>
    <t>Note: Production Costs = field-level operating costs only. Per AIF note 5, future net revenue is prior to interest and general &amp; administrative expenses, add corporate G&amp;A/interest separately (see MD&amp;A) for a full consolidated opex figure.</t>
  </si>
  <si>
    <t>Table B: Future Development Costs (Undiscounted), $ millions, excludes ADR/abandonment costs</t>
  </si>
  <si>
    <t>Region / Category</t>
  </si>
  <si>
    <t>Discounted @10%</t>
  </si>
  <si>
    <t xml:space="preserve">  North America</t>
  </si>
  <si>
    <t xml:space="preserve">  Offshore Africa</t>
  </si>
  <si>
    <t>Note: management states internally generated cash flow, existing credit facilities and debt market access are expected to be sufficient to fund these future development costs (AIF, "Future Development Costs," p.38).</t>
  </si>
  <si>
    <t>Active: 3-consultant avg - WTI US$72.33 → 74.78; +2%/yr after 2030</t>
  </si>
  <si>
    <t>Sproule ERCE / GLJ / McDaniel mid-year (June 2026) average - the active deck (Cover D16 = 2). The AIF reserve-report deck (WTI US$59.92 → 73.37, the basis behind the company’s own reserve report) is selectable at D16 = 1. Both escalate 2%/yr after 2030.</t>
  </si>
  <si>
    <t>Model Inputs §15b (active deck); AIF p.35 (reserve-report deck)</t>
  </si>
  <si>
    <t>11.4% – 24.8% by product (1P / 2P)</t>
  </si>
  <si>
    <t>Per-product royalty taken in kind, read straight from the reserves tables as (Company Gross − Company Net) ÷ Company Gross. Applied to each product’s revenue, which is identical to valuing the royalty barrels at price, so it responds to the price deck. Replaces the old single-year 2025 realized rates and removes the ~1.19× calibration factor entirely. Because these life-average volumetric rates apply to the model’s (higher-price) revenue, total royalties run +4.0% (1P) / +5.5% (2P) above the evaluator’s filed dollar total - intended, not drift. Caveat: a life-average rate does not capture the oil-sands pre/post-payout time shape.</t>
  </si>
  <si>
    <t>AIF pp.24-25, Company Gross (Table A) vs Company Net (Table B) reserves</t>
  </si>
  <si>
    <t>C$20.84 / 18.59 per BOE (1P / 2P), 2025-real, +2%/yr</t>
  </si>
  <si>
    <t>One blended rate, derived directly from the filing: filed opex ÷ Σ(BOE x inflation). Applied as BOE x rate x the published 2%/yr cost-inflation index, so the timing matches the evaluator’s embedded cost escalation. Ties to the filed total by construction - no calibration factor. Trade-off: one rate covers every product (a cheap conventional barrel and an expensive oil-sands barrel are costed the same), the price of removing the scaling factor. Applying it flat, without the inflation path, would front-load opex and distort NPV - hence the inflation index is retained.</t>
  </si>
  <si>
    <t>AIF p.33 (filed opex total); AIF p.35 (2%/yr cost inflation)</t>
  </si>
  <si>
    <t>$23.9bn / 25.1bn (1P / 2P), spread from year 1</t>
  </si>
  <si>
    <t>Evaluator total; timing not published. Spread with a NA+Africa run-rate of ~C$475mm/yr (Model Inputs B287), allocated to the three segments by reserves and inflated 2%/yr. Where the inflated run-rate would exceed a segment’s share, inflation is dropped to flat; the remaining shortfall vs each segment’s filed total is swept into the back half (the large final teardown of a mine or thermal plant). Ties exactly per segment. Replaces the old back-half-only spread, giving a steady baseline of abandonment from year one plus an end-of-life bulge. North Sea ADR is excluded here (deducted separately in the bridge). The C$475mm anchor is a placeholder: CNRL discloses C$771mm total 2025 abandonment spend but not the NA-vs-North Sea split, so only the timing is provisional - the total is pinned.</t>
  </si>
  <si>
    <t>AIF p.33 (total); 40-F FY2025 (C$771mm spend; ARO by segment)</t>
  </si>
  <si>
    <t>~22.4% effective; CCA-shaped timing</t>
  </si>
  <si>
    <t>Declining-balance CCA-style tax pool (Model Inputs §19) that shapes tax over time and is scaled so life-of-reserves tax ties to the evaluator total. Replaces the earlier flat effective rate, which ignored tax-pool timing.</t>
  </si>
  <si>
    <t>10% or 8.5% - case toggle (Cover D17)</t>
  </si>
  <si>
    <t>Cover D17 switches the whole model between PV10 (NI 51-101 reserve-report floor) and PV8.5 (CNRL cost-of-capital / market-implied ~8.5%). Mid-year. Defaults to PV10.</t>
  </si>
  <si>
    <t>Convention (PV10); cost of capital (PV8.5)</t>
  </si>
  <si>
    <t>−$1,656mm  (17% of consol. ARO) - see note</t>
  </si>
  <si>
    <t>Reserves de-booked in 2025, so excluded from the evaluator numbers. Model deducts 17% × consolidated ARO $9,743mm = $1,656mm (Model Inputs B115/B116). NOTE: the 40-F FY2025 discloses North Sea segment ARO of ~$2,629mm (~27%), and this tab previously showed 25% ($2,436mm); adopting the disclosed figure would deepen the deduction by ~$1.0bn (~$0.5/share). Flagged for review - the model has not been changed.</t>
  </si>
  <si>
    <t>FS note 8; 40-F FY2025 (segment ARO); share at Model Inputs B115</t>
  </si>
  <si>
    <t>−$7,159mm (1P) / −$7,281mm (2P), at PV10</t>
  </si>
  <si>
    <t>$795mm/yr, grown 2%, after tax, over the reserve life; discounted at the selected rate, so it rises under the PV8.5 case. Assets cannot be run without head-office G&amp;A, which NI 51-101 excludes.</t>
  </si>
  <si>
    <t>−$14,500mm</t>
  </si>
  <si>
    <t>Company-reported net debt at June 30, 2026 (down ~$1.6bn in Q2 via free-cash-flow paydown). Updated from Dec-2025 $15,944mm to match the June-2026 price deck.</t>
  </si>
  <si>
    <t>Q2/26 MD&amp;A (net debt, Jun 30 2026)</t>
  </si>
  <si>
    <t>Basic count at Mar 3, 2026; 57mm options excluded (~3% dilution). Note: net debt is now Jun 30 2026 but shares are not - Q2 buybacks (~$1.1bn, ~17mm shares) would modestly lower the count and lift per-share NAV, so this is slightly conservative.</t>
  </si>
  <si>
    <t>Field-life factor is frozen at base case, so modelled revenue runs +1.8% above the filed total (the active consultant deck and realized prices moved after the factor was frozen). Not an exact tie.</t>
  </si>
  <si>
    <t>+1.8% vs filed, not an exact tie: the field-life factor is frozen at base case and the active deck has since moved. Same mechanism as the 1P row.</t>
  </si>
  <si>
    <t>No longer an exact tie: undiscounted after-tax FNR runs +3.4% above the filed total, because royalties are now derived volumetrically and applied to the model’s price deck rather than calibrated to the filed royalty dollar figure. Opex and ADR still tie exactly (0.0%), and taxes scale to the filed total; the gap is the intended royalty overage flowing through.</t>
  </si>
  <si>
    <t>Sum-of-the-parts NAV: reserves at PV of after-tax future net revenue at the discount rate set by the Cover D17 case toggle (PV10 floor or PV8.5 cost-of-capital), mid-year; less debt and other obligations</t>
  </si>
  <si>
    <t>Discount-rate case  (1 = PV10 reserve-report floor, 2 = PV8.5 cost-of-capital / market-implied)</t>
  </si>
  <si>
    <t>ROYALTIES BY PRODUCT (C$mm) = revenue x per-product volumetric royalty rate (NI 51-101 gross-to-net); no calibration</t>
  </si>
  <si>
    <t>OPERATING COSTS BY PRODUCT (C$mm) = production (BOE) x blended C$/BOE (2025-real, derived from filed opex) x cost-inflation index (row 64); no calibration factor</t>
  </si>
  <si>
    <t>ADR: a NA+Africa run-rate (Model Inputs B287, ~C$475mm yr1, allocated to segments by reserves) inflated 2%/yr, with the shortfall vs each segment's filed ADR total spread over the back half. If the inflated run-rate would exceed a segment's total, inflation is dropped (flat). Ties exactly to the AIF ADR total.</t>
  </si>
  <si>
    <t>Discount rate (set by Cover D17 case toggle)</t>
  </si>
  <si>
    <t>RETIRED. Royalties now use per-product volumetric rates (D/F 73:80) applied directly to revenue; no calibration factor.</t>
  </si>
  <si>
    <t>RETIRED. Opex now uses blended C$/BOE (B288/B289) applied to volume; no calibration factor.</t>
  </si>
  <si>
    <t>Q2/26 MD&amp;A: company-reported net debt C$14.5bn at Jun 30 2026 (down ~C$1.6bn in Q2 via free-cash-flow paydown). Updated from Dec-2025 C$15,944mm to match the June-2026 price deck as-of date.</t>
  </si>
  <si>
    <t>Royalty % (1P) = (gross-net)/gross</t>
  </si>
  <si>
    <t>Royalty % (2P) = (gross-net)/gross</t>
  </si>
  <si>
    <t>Royalty % now derived volumetrically from NI 51-101 Company Gross vs Company Net reserves (Reserves Data Tables A &amp; B). Replaces single-year 2025 realized rates; no calibration factor needed.</t>
  </si>
  <si>
    <t>20. Royalty / opex / ADR method upgrade (replaces calibration factors)</t>
  </si>
  <si>
    <t>ADR NA+Africa run-rate, year-1 (C$mm)</t>
  </si>
  <si>
    <t>Total 2025 abandonment cash spend C$771mm (40-F FY2025; 2024 646, 2023 509), incl. North Sea. NA+Africa portion (ex-North Sea, which is deducted separately in the NAV bridge) estimated ~475. Placeholder pending a disclosed NA-only split.</t>
  </si>
  <si>
    <t>1P blended opex rate R (C$/BOE, 2025-real)</t>
  </si>
  <si>
    <t>Single derived rate: filed 1P opex 472,357 / Sum over life of [BOE(t) x inflation(t)] = 22,662. Applied as BOE(t) x R x inflation index (row 64). Preserves AIF 2%/yr cost-inflation timing; ties to filed total; no calibration factor.</t>
  </si>
  <si>
    <t>2P blended opex rate R (C$/BOE, 2025-real)</t>
  </si>
  <si>
    <t>Single derived rate: filed 2P opex 565,088 / Sum[BOE(t) x inflation(t)] = 30,398. Applied as BOE(t) x R x inflation index. Preserves AIF cost-inflation timing; ties to filed; no calibration factor.</t>
  </si>
  <si>
    <t>ADR timing scalars - 1P</t>
  </si>
  <si>
    <t>Conventional</t>
  </si>
  <si>
    <t>Thermal</t>
  </si>
  <si>
    <t>Mining</t>
  </si>
  <si>
    <t>Segment reserves (MMBOE)</t>
  </si>
  <si>
    <t>Share of total</t>
  </si>
  <si>
    <t>Segment ADR total S (C$mm)</t>
  </si>
  <si>
    <t>N = ROUNDUP(sensitized RLI)</t>
  </si>
  <si>
    <t>Run-rate yr1 R (C$mm)</t>
  </si>
  <si>
    <t>sum_growth=(1.02^N-1)/.02</t>
  </si>
  <si>
    <t>inflate? (1/0)</t>
  </si>
  <si>
    <t>base_sum</t>
  </si>
  <si>
    <t>scale</t>
  </si>
  <si>
    <t>topup total</t>
  </si>
  <si>
    <t>bh_start</t>
  </si>
  <si>
    <t>bh_count</t>
  </si>
  <si>
    <t>topup/yr</t>
  </si>
  <si>
    <t>ADR timing scalars - 2P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</si>
</sst>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0.00_);&quot;($&quot;#,##0.00\);\-"/>
    <numFmt numFmtId="165" formatCode="#,##0.00_);\(#,##0.00\);\-"/>
    <numFmt numFmtId="166" formatCode="\$#,##0_);&quot;($&quot;#,##0\);\-"/>
    <numFmt numFmtId="167" formatCode="#,##0_);\(#,##0\);\-"/>
    <numFmt numFmtId="168" formatCode="0.0%"/>
    <numFmt numFmtId="169" formatCode="#,##0.0000"/>
    <numFmt numFmtId="170" formatCode="#,##0.0_);\(#,##0.0\);\-"/>
    <numFmt numFmtId="171" formatCode="0.0%;\(0.0%\)"/>
    <numFmt numFmtId="172" formatCode="0.0"/>
    <numFmt numFmtId="173" formatCode="0.0\x"/>
    <numFmt numFmtId="174" formatCode="0.0&quot;  yrs&quot;"/>
    <numFmt numFmtId="175" formatCode="0.00;\(0.00\)"/>
    <numFmt numFmtId="176" formatCode="0.0000"/>
    <numFmt numFmtId="177" formatCode="\+0.0%;\(0.0%\)"/>
    <numFmt numFmtId="178" formatCode="mmm\ d\,\ yyyy"/>
    <numFmt numFmtId="179" formatCode="#,##0.0"/>
    <numFmt numFmtId="180" formatCode="\$0.00"/>
  </numFmts>
  <fonts count="23" x14ac:knownFonts="1">
    <font>
      <sz val="12"/>
      <color theme="1"/>
      <name val="Aptos Narrow"/>
      <family val="2"/>
      <charset val="1"/>
    </font>
    <font>
      <sz val="10"/>
      <name val="Arial"/>
      <family val="2"/>
    </font>
    <font>
      <sz val="10"/>
      <color rgb="FF000000"/>
      <name val="Arial"/>
      <family val="2"/>
    </font>
    <font>
      <b/>
      <sz val="18"/>
      <color rgb="FF1F3864"/>
      <name val="Arial"/>
      <family val="2"/>
    </font>
    <font>
      <sz val="10"/>
      <color rgb="FF595959"/>
      <name val="Arial"/>
      <family val="2"/>
    </font>
    <font>
      <b/>
      <sz val="14"/>
      <color rgb="FF000000"/>
      <name val="Arial"/>
      <family val="2"/>
    </font>
    <font>
      <i/>
      <sz val="8"/>
      <color rgb="FF595959"/>
      <name val="Arial"/>
      <family val="2"/>
    </font>
    <font>
      <b/>
      <sz val="10"/>
      <name val="Arial"/>
      <family val="2"/>
    </font>
    <font>
      <sz val="10"/>
      <name val="Arial"/>
      <family val="2"/>
    </font>
    <font>
      <b/>
      <sz val="11"/>
      <color rgb="FF000000"/>
      <name val="Arial"/>
      <family val="2"/>
    </font>
    <font>
      <b/>
      <sz val="10"/>
      <color rgb="FF000000"/>
      <name val="Arial"/>
      <family val="2"/>
    </font>
    <font>
      <sz val="10"/>
      <color rgb="FF0000FF"/>
      <name val="Arial"/>
      <family val="2"/>
    </font>
    <font>
      <b/>
      <sz val="11"/>
      <name val="Arial"/>
      <family val="2"/>
    </font>
    <font>
      <b/>
      <sz val="10"/>
      <color rgb="FF0000FF"/>
      <name val="Arial"/>
      <family val="2"/>
    </font>
    <font>
      <b/>
      <sz val="10"/>
      <color rgb="FF008000"/>
      <name val="Arial"/>
      <family val="2"/>
    </font>
    <font>
      <b/>
      <sz val="10"/>
      <color rgb="FFFFFFFF"/>
      <name val="Arial"/>
      <family val="2"/>
    </font>
    <font>
      <sz val="10"/>
      <color rgb="FF008000"/>
      <name val="Arial"/>
      <family val="2"/>
    </font>
    <font>
      <b/>
      <sz val="10"/>
      <color rgb="FFC00000"/>
      <name val="Arial"/>
      <family val="2"/>
    </font>
    <font>
      <b/>
      <sz val="14"/>
      <color rgb="FF1F3864"/>
      <name val="Arial"/>
      <family val="2"/>
    </font>
    <font>
      <i/>
      <sz val="9"/>
      <color rgb="FF595959"/>
      <name val="Calibri"/>
      <family val="2"/>
      <charset val="1"/>
    </font>
    <font>
      <b/>
      <sz val="12"/>
      <color rgb="FF1F3864"/>
      <name val="Arial"/>
      <family val="2"/>
    </font>
    <font>
      <sz val="11"/>
      <color rgb="FF0000FF"/>
      <name val="Calibri"/>
      <family val="2"/>
      <charset val="1"/>
    </font>
    <font>
      <b/>
      <sz val="11"/>
      <color rgb="FF0000FF"/>
      <name val="Calibri"/>
      <family val="2"/>
      <charset val="1"/>
    </font>
  </fonts>
  <fills count="3">
    <fill>
      <patternFill patternType="none"/>
    </fill>
    <fill>
      <patternFill patternType="gray125"/>
    </fill>
    <fill>
      <patternFill patternType="solid">
        <fgColor rgb="FFDCE6F1"/>
        <bgColor rgb="FFD9D9D9"/>
      </patternFill>
    </fill>
  </fills>
  <borders count="6">
    <border>
      <left/>
      <right/>
      <top/>
      <bottom/>
      <diagonal/>
    </border>
    <border>
      <left/>
      <right/>
      <top/>
      <bottom style="medium">
        <color rgb="FF1F3864"/>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bottom style="thin">
        <color rgb="FFD9D9D9"/>
      </bottom>
      <diagonal/>
    </border>
  </borders>
  <cellStyleXfs count="1">
    <xf numFmtId="0" fontId="0" fillId="0" borderId="0"/>
  </cellStyleXfs>
  <cellXfs count="141">
    <xf numFmtId="0" fontId="0" fillId="0" borderId="0" xfId="0"/>
    <xf numFmtId="0" fontId="6" fillId="0" borderId="0" xfId="0" applyFont="1" applyAlignment="1">
      <alignment horizontal="left" vertical="center"/>
    </xf>
    <xf numFmtId="0" fontId="6" fillId="0" borderId="0" xfId="0" applyFont="1" applyAlignment="1">
      <alignment vertical="top" wrapText="1"/>
    </xf>
    <xf numFmtId="0" fontId="6" fillId="0" borderId="0" xfId="0" applyFont="1" applyAlignment="1">
      <alignment horizontal="left" vertical="top" wrapText="1"/>
    </xf>
    <xf numFmtId="0" fontId="9" fillId="2" borderId="0" xfId="0" applyFont="1" applyFill="1" applyAlignment="1">
      <alignment horizontal="left" vertical="center"/>
    </xf>
    <xf numFmtId="0" fontId="2" fillId="0" borderId="0" xfId="0" applyFont="1" applyAlignment="1">
      <alignment horizontal="left" vertical="top" wrapText="1"/>
    </xf>
    <xf numFmtId="0" fontId="2" fillId="0" borderId="0" xfId="0" applyFont="1"/>
    <xf numFmtId="0" fontId="3" fillId="0" borderId="0" xfId="0" applyFont="1" applyAlignment="1">
      <alignment horizontal="left" vertical="center"/>
    </xf>
    <xf numFmtId="0" fontId="4" fillId="0" borderId="0" xfId="0" applyFont="1" applyAlignment="1">
      <alignment horizontal="left" vertical="center"/>
    </xf>
    <xf numFmtId="0" fontId="0" fillId="0" borderId="1" xfId="0" applyBorder="1"/>
    <xf numFmtId="0" fontId="5" fillId="0" borderId="0" xfId="0" applyFont="1" applyAlignment="1">
      <alignment horizontal="left" vertical="center"/>
    </xf>
    <xf numFmtId="0" fontId="7" fillId="0" borderId="0" xfId="0" applyFont="1" applyAlignment="1">
      <alignment horizontal="left"/>
    </xf>
    <xf numFmtId="0" fontId="8" fillId="0" borderId="0" xfId="0" applyFont="1" applyAlignment="1">
      <alignment horizontal="left"/>
    </xf>
    <xf numFmtId="0" fontId="0" fillId="2" borderId="0" xfId="0" applyFill="1"/>
    <xf numFmtId="0" fontId="2" fillId="0" borderId="0" xfId="0" applyFont="1" applyAlignment="1">
      <alignment horizontal="left" vertical="center"/>
    </xf>
    <xf numFmtId="164" fontId="10" fillId="0" borderId="2" xfId="0" applyNumberFormat="1" applyFont="1" applyBorder="1" applyAlignment="1">
      <alignment horizontal="right"/>
    </xf>
    <xf numFmtId="0" fontId="12" fillId="2" borderId="0" xfId="0" applyFont="1" applyFill="1" applyAlignment="1">
      <alignment horizontal="left" vertical="center"/>
    </xf>
    <xf numFmtId="0" fontId="6" fillId="0" borderId="0" xfId="0" applyFont="1" applyAlignment="1">
      <alignment horizontal="left"/>
    </xf>
    <xf numFmtId="0" fontId="2" fillId="2" borderId="0" xfId="0" applyFont="1" applyFill="1"/>
    <xf numFmtId="0" fontId="10" fillId="0" borderId="2" xfId="0" applyFont="1" applyBorder="1" applyAlignment="1">
      <alignment horizontal="left"/>
    </xf>
    <xf numFmtId="0" fontId="10" fillId="0" borderId="2" xfId="0" applyFont="1" applyBorder="1" applyAlignment="1">
      <alignment horizontal="right"/>
    </xf>
    <xf numFmtId="0" fontId="2" fillId="0" borderId="0" xfId="0" applyFont="1" applyAlignment="1">
      <alignment horizontal="left"/>
    </xf>
    <xf numFmtId="165" fontId="0" fillId="0" borderId="0" xfId="0" applyNumberFormat="1"/>
    <xf numFmtId="166" fontId="16" fillId="0" borderId="0" xfId="0" applyNumberFormat="1" applyFont="1" applyAlignment="1">
      <alignment horizontal="right"/>
    </xf>
    <xf numFmtId="167" fontId="16" fillId="0" borderId="0" xfId="0" applyNumberFormat="1" applyFont="1" applyAlignment="1">
      <alignment horizontal="right"/>
    </xf>
    <xf numFmtId="0" fontId="10" fillId="0" borderId="0" xfId="0" applyFont="1" applyAlignment="1">
      <alignment horizontal="left" vertical="center"/>
    </xf>
    <xf numFmtId="167" fontId="14" fillId="0" borderId="3" xfId="0" applyNumberFormat="1" applyFont="1" applyBorder="1" applyAlignment="1">
      <alignment horizontal="right" vertical="center"/>
    </xf>
    <xf numFmtId="167" fontId="16" fillId="0" borderId="0" xfId="0" applyNumberFormat="1" applyFont="1" applyAlignment="1">
      <alignment horizontal="right" vertical="center"/>
    </xf>
    <xf numFmtId="164" fontId="14" fillId="0" borderId="4" xfId="0" applyNumberFormat="1" applyFont="1" applyBorder="1" applyAlignment="1">
      <alignment horizontal="right" vertical="center"/>
    </xf>
    <xf numFmtId="0" fontId="9" fillId="0" borderId="0" xfId="0" applyFont="1" applyAlignment="1">
      <alignment horizontal="left" vertical="center"/>
    </xf>
    <xf numFmtId="0" fontId="10" fillId="0" borderId="2" xfId="0" applyFont="1" applyBorder="1" applyAlignment="1">
      <alignment horizontal="center"/>
    </xf>
    <xf numFmtId="0" fontId="9" fillId="2" borderId="5" xfId="0" applyFont="1" applyFill="1" applyBorder="1" applyAlignment="1">
      <alignment horizontal="left" vertical="center"/>
    </xf>
    <xf numFmtId="0" fontId="2" fillId="2" borderId="5" xfId="0" applyFont="1" applyFill="1" applyBorder="1"/>
    <xf numFmtId="0" fontId="2" fillId="0" borderId="5" xfId="0" applyFont="1" applyBorder="1" applyAlignment="1">
      <alignment horizontal="left" vertical="top" wrapText="1"/>
    </xf>
    <xf numFmtId="0" fontId="2" fillId="0" borderId="5" xfId="0" applyFont="1" applyBorder="1" applyAlignment="1">
      <alignment horizontal="center" vertical="top" wrapText="1"/>
    </xf>
    <xf numFmtId="0" fontId="17" fillId="0" borderId="5" xfId="0" applyFont="1" applyBorder="1" applyAlignment="1">
      <alignment horizontal="center" vertical="top" wrapText="1"/>
    </xf>
    <xf numFmtId="0" fontId="18" fillId="0" borderId="0" xfId="0" applyFont="1" applyAlignment="1">
      <alignment horizontal="left" vertical="center"/>
    </xf>
    <xf numFmtId="165" fontId="11" fillId="0" borderId="0" xfId="0" applyNumberFormat="1" applyFont="1" applyAlignment="1">
      <alignment horizontal="right" vertical="center"/>
    </xf>
    <xf numFmtId="165" fontId="16" fillId="0" borderId="0" xfId="0" applyNumberFormat="1" applyFont="1" applyAlignment="1">
      <alignment horizontal="right" vertical="center"/>
    </xf>
    <xf numFmtId="168" fontId="11" fillId="0" borderId="0" xfId="0" applyNumberFormat="1" applyFont="1" applyAlignment="1">
      <alignment horizontal="right" vertical="center"/>
    </xf>
    <xf numFmtId="1" fontId="11" fillId="0" borderId="0" xfId="0" applyNumberFormat="1" applyFont="1" applyAlignment="1">
      <alignment horizontal="right" vertical="center"/>
    </xf>
    <xf numFmtId="169" fontId="11" fillId="0" borderId="0" xfId="0" applyNumberFormat="1" applyFont="1" applyAlignment="1">
      <alignment horizontal="right" vertical="center"/>
    </xf>
    <xf numFmtId="169" fontId="16" fillId="0" borderId="0" xfId="0" applyNumberFormat="1" applyFont="1" applyAlignment="1">
      <alignment horizontal="right" vertical="center"/>
    </xf>
    <xf numFmtId="165" fontId="14" fillId="0" borderId="0" xfId="0" applyNumberFormat="1" applyFont="1" applyAlignment="1">
      <alignment horizontal="right" vertical="center"/>
    </xf>
    <xf numFmtId="164" fontId="14" fillId="0" borderId="2" xfId="0" applyNumberFormat="1" applyFont="1" applyBorder="1" applyAlignment="1">
      <alignment horizontal="right" vertical="center"/>
    </xf>
    <xf numFmtId="170" fontId="10" fillId="0" borderId="2" xfId="0" applyNumberFormat="1" applyFont="1" applyBorder="1" applyAlignment="1">
      <alignment horizontal="center"/>
    </xf>
    <xf numFmtId="166" fontId="13" fillId="0" borderId="0" xfId="0" applyNumberFormat="1" applyFont="1" applyAlignment="1">
      <alignment horizontal="center"/>
    </xf>
    <xf numFmtId="165" fontId="2" fillId="0" borderId="0" xfId="0" applyNumberFormat="1" applyFont="1" applyAlignment="1">
      <alignment horizontal="right"/>
    </xf>
    <xf numFmtId="165" fontId="11" fillId="0" borderId="0" xfId="0" applyNumberFormat="1" applyFont="1" applyAlignment="1">
      <alignment horizontal="right"/>
    </xf>
    <xf numFmtId="0" fontId="19" fillId="0" borderId="0" xfId="0" applyFont="1"/>
    <xf numFmtId="165" fontId="10" fillId="0" borderId="3" xfId="0" applyNumberFormat="1" applyFont="1" applyBorder="1" applyAlignment="1">
      <alignment horizontal="right" vertical="center"/>
    </xf>
    <xf numFmtId="168" fontId="10" fillId="0" borderId="2" xfId="0" applyNumberFormat="1" applyFont="1" applyBorder="1" applyAlignment="1">
      <alignment horizontal="center"/>
    </xf>
    <xf numFmtId="165" fontId="10" fillId="0" borderId="2" xfId="0" applyNumberFormat="1" applyFont="1" applyBorder="1" applyAlignment="1">
      <alignment horizontal="center"/>
    </xf>
    <xf numFmtId="169" fontId="10" fillId="0" borderId="2" xfId="0" applyNumberFormat="1" applyFont="1" applyBorder="1" applyAlignment="1">
      <alignment horizontal="center"/>
    </xf>
    <xf numFmtId="0" fontId="11" fillId="0" borderId="0" xfId="0" applyFont="1" applyAlignment="1">
      <alignment horizontal="right" vertical="center"/>
    </xf>
    <xf numFmtId="1" fontId="10" fillId="0" borderId="2" xfId="0" applyNumberFormat="1" applyFont="1" applyBorder="1" applyAlignment="1">
      <alignment horizontal="center"/>
    </xf>
    <xf numFmtId="1" fontId="13" fillId="0" borderId="0" xfId="0" applyNumberFormat="1" applyFont="1" applyAlignment="1">
      <alignment horizontal="right" vertical="center"/>
    </xf>
    <xf numFmtId="0" fontId="8" fillId="0" borderId="0" xfId="0" applyFont="1" applyAlignment="1">
      <alignment horizontal="left" vertical="center"/>
    </xf>
    <xf numFmtId="1" fontId="11" fillId="0" borderId="0" xfId="0" applyNumberFormat="1" applyFont="1" applyAlignment="1">
      <alignment horizontal="center"/>
    </xf>
    <xf numFmtId="169" fontId="0" fillId="0" borderId="0" xfId="0" applyNumberFormat="1"/>
    <xf numFmtId="169" fontId="2" fillId="0" borderId="0" xfId="0" applyNumberFormat="1" applyFont="1" applyAlignment="1">
      <alignment horizontal="right" vertical="center"/>
    </xf>
    <xf numFmtId="170" fontId="10" fillId="0" borderId="0" xfId="0" applyNumberFormat="1" applyFont="1" applyAlignment="1">
      <alignment horizontal="right" vertical="center"/>
    </xf>
    <xf numFmtId="170" fontId="16" fillId="0" borderId="0" xfId="0" applyNumberFormat="1" applyFont="1" applyAlignment="1">
      <alignment horizontal="right" vertical="center"/>
    </xf>
    <xf numFmtId="170" fontId="0" fillId="0" borderId="0" xfId="0" applyNumberFormat="1"/>
    <xf numFmtId="170" fontId="2" fillId="0" borderId="0" xfId="0" applyNumberFormat="1" applyFont="1" applyAlignment="1">
      <alignment horizontal="right" vertical="center"/>
    </xf>
    <xf numFmtId="167" fontId="2" fillId="0" borderId="0" xfId="0" applyNumberFormat="1" applyFont="1" applyAlignment="1">
      <alignment horizontal="right" vertical="center"/>
    </xf>
    <xf numFmtId="166" fontId="10" fillId="0" borderId="0" xfId="0" applyNumberFormat="1" applyFont="1" applyAlignment="1">
      <alignment horizontal="right" vertical="center"/>
    </xf>
    <xf numFmtId="166" fontId="2" fillId="0" borderId="0" xfId="0" applyNumberFormat="1" applyFont="1" applyAlignment="1">
      <alignment horizontal="right" vertical="center"/>
    </xf>
    <xf numFmtId="167" fontId="10" fillId="0" borderId="0" xfId="0" applyNumberFormat="1" applyFont="1" applyAlignment="1">
      <alignment horizontal="right" vertical="center"/>
    </xf>
    <xf numFmtId="167" fontId="10" fillId="0" borderId="3" xfId="0" applyNumberFormat="1" applyFont="1" applyBorder="1" applyAlignment="1">
      <alignment horizontal="right" vertical="center"/>
    </xf>
    <xf numFmtId="166" fontId="16" fillId="0" borderId="0" xfId="0" applyNumberFormat="1" applyFont="1" applyAlignment="1">
      <alignment horizontal="right" vertical="center"/>
    </xf>
    <xf numFmtId="167" fontId="14" fillId="0" borderId="0" xfId="0" applyNumberFormat="1" applyFont="1" applyAlignment="1">
      <alignment horizontal="right" vertical="center"/>
    </xf>
    <xf numFmtId="167" fontId="0" fillId="0" borderId="0" xfId="0" applyNumberFormat="1"/>
    <xf numFmtId="167" fontId="8" fillId="0" borderId="0" xfId="0" applyNumberFormat="1" applyFont="1" applyAlignment="1">
      <alignment horizontal="right" vertical="center"/>
    </xf>
    <xf numFmtId="0" fontId="10" fillId="0" borderId="2" xfId="0" applyFont="1" applyBorder="1" applyAlignment="1">
      <alignment horizontal="left" vertical="top" wrapText="1"/>
    </xf>
    <xf numFmtId="167" fontId="11" fillId="0" borderId="0" xfId="0" applyNumberFormat="1" applyFont="1" applyAlignment="1">
      <alignment horizontal="right" vertical="center"/>
    </xf>
    <xf numFmtId="171" fontId="2" fillId="0" borderId="0" xfId="0" applyNumberFormat="1" applyFont="1" applyAlignment="1">
      <alignment horizontal="right" vertical="center"/>
    </xf>
    <xf numFmtId="170" fontId="11" fillId="0" borderId="0" xfId="0" applyNumberFormat="1" applyFont="1" applyAlignment="1">
      <alignment horizontal="right" vertical="center"/>
    </xf>
    <xf numFmtId="0" fontId="10" fillId="0" borderId="0" xfId="0" applyFont="1"/>
    <xf numFmtId="164" fontId="10" fillId="0" borderId="4" xfId="0" applyNumberFormat="1" applyFont="1" applyBorder="1" applyAlignment="1">
      <alignment horizontal="right" vertical="center"/>
    </xf>
    <xf numFmtId="0" fontId="12" fillId="2" borderId="0" xfId="0" applyFont="1" applyFill="1"/>
    <xf numFmtId="167" fontId="7" fillId="0" borderId="0" xfId="0" applyNumberFormat="1" applyFont="1"/>
    <xf numFmtId="167" fontId="8" fillId="0" borderId="0" xfId="0" applyNumberFormat="1" applyFont="1"/>
    <xf numFmtId="167" fontId="7" fillId="0" borderId="3" xfId="0" applyNumberFormat="1" applyFont="1" applyBorder="1"/>
    <xf numFmtId="0" fontId="18" fillId="0" borderId="0" xfId="0" applyFont="1" applyAlignment="1">
      <alignment horizontal="left" vertical="top" wrapText="1"/>
    </xf>
    <xf numFmtId="0" fontId="9" fillId="2" borderId="0" xfId="0" applyFont="1" applyFill="1" applyAlignment="1">
      <alignment horizontal="left" vertical="top" wrapText="1"/>
    </xf>
    <xf numFmtId="168" fontId="16" fillId="0" borderId="0" xfId="0" applyNumberFormat="1" applyFont="1" applyAlignment="1">
      <alignment horizontal="right" vertical="center"/>
    </xf>
    <xf numFmtId="168" fontId="2" fillId="0" borderId="0" xfId="0" applyNumberFormat="1" applyFont="1" applyAlignment="1">
      <alignment horizontal="right" vertical="center"/>
    </xf>
    <xf numFmtId="0" fontId="9" fillId="0" borderId="0" xfId="0" applyFont="1" applyAlignment="1">
      <alignment horizontal="left" vertical="top" wrapText="1"/>
    </xf>
    <xf numFmtId="1" fontId="2" fillId="0" borderId="0" xfId="0" applyNumberFormat="1" applyFont="1" applyAlignment="1">
      <alignment horizontal="right" vertical="center"/>
    </xf>
    <xf numFmtId="172" fontId="16" fillId="0" borderId="0" xfId="0" applyNumberFormat="1" applyFont="1" applyAlignment="1">
      <alignment horizontal="right" vertical="center"/>
    </xf>
    <xf numFmtId="170" fontId="14" fillId="0" borderId="0" xfId="0" applyNumberFormat="1" applyFont="1" applyAlignment="1">
      <alignment horizontal="right" vertical="center"/>
    </xf>
    <xf numFmtId="165" fontId="2" fillId="0" borderId="0" xfId="0" applyNumberFormat="1" applyFont="1" applyAlignment="1">
      <alignment horizontal="right" vertical="center"/>
    </xf>
    <xf numFmtId="165" fontId="10" fillId="0" borderId="0" xfId="0" applyNumberFormat="1" applyFont="1" applyAlignment="1">
      <alignment horizontal="right" vertical="center"/>
    </xf>
    <xf numFmtId="168" fontId="10" fillId="0" borderId="0" xfId="0" applyNumberFormat="1" applyFont="1" applyAlignment="1">
      <alignment horizontal="right" vertical="center"/>
    </xf>
    <xf numFmtId="167" fontId="11" fillId="0" borderId="0" xfId="0" applyNumberFormat="1" applyFont="1" applyAlignment="1">
      <alignment horizontal="right"/>
    </xf>
    <xf numFmtId="173" fontId="11" fillId="0" borderId="0" xfId="0" applyNumberFormat="1" applyFont="1" applyAlignment="1">
      <alignment horizontal="right" vertical="center"/>
    </xf>
    <xf numFmtId="1" fontId="16" fillId="0" borderId="0" xfId="0" applyNumberFormat="1" applyFont="1" applyAlignment="1">
      <alignment horizontal="right" vertical="center"/>
    </xf>
    <xf numFmtId="0" fontId="20" fillId="0" borderId="0" xfId="0" applyFont="1" applyAlignment="1">
      <alignment horizontal="left" vertical="center"/>
    </xf>
    <xf numFmtId="167" fontId="21" fillId="0" borderId="0" xfId="0" applyNumberFormat="1" applyFont="1"/>
    <xf numFmtId="167" fontId="13" fillId="0" borderId="0" xfId="0" applyNumberFormat="1" applyFont="1" applyAlignment="1">
      <alignment horizontal="right" vertical="center"/>
    </xf>
    <xf numFmtId="167" fontId="22" fillId="0" borderId="0" xfId="0" applyNumberFormat="1" applyFont="1"/>
    <xf numFmtId="174" fontId="11" fillId="0" borderId="0" xfId="0" applyNumberFormat="1" applyFont="1" applyAlignment="1">
      <alignment horizontal="right" vertical="center"/>
    </xf>
    <xf numFmtId="174" fontId="2" fillId="0" borderId="0" xfId="0" applyNumberFormat="1" applyFont="1" applyAlignment="1">
      <alignment horizontal="right" vertical="center"/>
    </xf>
    <xf numFmtId="174" fontId="10" fillId="0" borderId="0" xfId="0" applyNumberFormat="1" applyFont="1" applyAlignment="1">
      <alignment horizontal="right" vertical="center"/>
    </xf>
    <xf numFmtId="0" fontId="2" fillId="0" borderId="0" xfId="0" applyFont="1" applyAlignment="1">
      <alignment horizontal="right" vertical="center"/>
    </xf>
    <xf numFmtId="3" fontId="11" fillId="0" borderId="0" xfId="0" applyNumberFormat="1" applyFont="1" applyAlignment="1">
      <alignment horizontal="right" vertical="center"/>
    </xf>
    <xf numFmtId="3" fontId="16" fillId="0" borderId="0" xfId="0" applyNumberFormat="1" applyFont="1" applyAlignment="1">
      <alignment horizontal="right" vertical="center"/>
    </xf>
    <xf numFmtId="172" fontId="11" fillId="0" borderId="0" xfId="0" applyNumberFormat="1" applyFont="1" applyAlignment="1">
      <alignment horizontal="right" vertical="center"/>
    </xf>
    <xf numFmtId="2" fontId="16" fillId="0" borderId="0" xfId="0" applyNumberFormat="1" applyFont="1" applyAlignment="1">
      <alignment horizontal="right" vertical="center"/>
    </xf>
    <xf numFmtId="175" fontId="2" fillId="0" borderId="0" xfId="0" applyNumberFormat="1" applyFont="1" applyAlignment="1">
      <alignment horizontal="left" vertical="center"/>
    </xf>
    <xf numFmtId="171" fontId="2" fillId="0" borderId="5" xfId="0" applyNumberFormat="1" applyFont="1" applyBorder="1" applyAlignment="1">
      <alignment horizontal="left" vertical="top" wrapText="1"/>
    </xf>
    <xf numFmtId="171" fontId="2" fillId="0" borderId="5" xfId="0" applyNumberFormat="1" applyFont="1" applyBorder="1" applyAlignment="1">
      <alignment horizontal="center" vertical="top" wrapText="1"/>
    </xf>
    <xf numFmtId="176" fontId="11" fillId="0" borderId="0" xfId="0" applyNumberFormat="1" applyFont="1" applyAlignment="1">
      <alignment horizontal="right" vertical="center"/>
    </xf>
    <xf numFmtId="176" fontId="16" fillId="0" borderId="0" xfId="0" applyNumberFormat="1" applyFont="1" applyAlignment="1">
      <alignment horizontal="right" vertical="center"/>
    </xf>
    <xf numFmtId="172" fontId="2" fillId="0" borderId="0" xfId="0" applyNumberFormat="1" applyFont="1" applyAlignment="1">
      <alignment horizontal="right" vertical="center"/>
    </xf>
    <xf numFmtId="3" fontId="2" fillId="0" borderId="0" xfId="0" applyNumberFormat="1" applyFont="1" applyAlignment="1">
      <alignment horizontal="right" vertical="center"/>
    </xf>
    <xf numFmtId="177" fontId="2" fillId="0" borderId="0" xfId="0" applyNumberFormat="1" applyFont="1" applyAlignment="1">
      <alignment horizontal="right" vertical="center"/>
    </xf>
    <xf numFmtId="0" fontId="1" fillId="0" borderId="0" xfId="0" applyFont="1" applyAlignment="1">
      <alignment horizontal="left"/>
    </xf>
    <xf numFmtId="2" fontId="11" fillId="0" borderId="0" xfId="0" applyNumberFormat="1" applyFont="1" applyAlignment="1">
      <alignment horizontal="right" vertical="center"/>
    </xf>
    <xf numFmtId="178" fontId="11" fillId="0" borderId="0" xfId="0" applyNumberFormat="1" applyFont="1" applyAlignment="1">
      <alignment horizontal="right" vertical="center"/>
    </xf>
    <xf numFmtId="179" fontId="16" fillId="0" borderId="0" xfId="0" applyNumberFormat="1" applyFont="1" applyAlignment="1">
      <alignment horizontal="right" vertical="center"/>
    </xf>
    <xf numFmtId="179" fontId="11" fillId="0" borderId="0" xfId="0" applyNumberFormat="1" applyFont="1" applyAlignment="1">
      <alignment horizontal="right" vertical="center"/>
    </xf>
    <xf numFmtId="2" fontId="10" fillId="0" borderId="0" xfId="0" applyNumberFormat="1" applyFont="1" applyAlignment="1">
      <alignment horizontal="right"/>
    </xf>
    <xf numFmtId="168" fontId="10" fillId="0" borderId="0" xfId="0" applyNumberFormat="1" applyFont="1" applyAlignment="1">
      <alignment horizontal="right"/>
    </xf>
    <xf numFmtId="180" fontId="10" fillId="0" borderId="0" xfId="0" applyNumberFormat="1" applyFont="1" applyAlignment="1">
      <alignment horizontal="right"/>
    </xf>
    <xf numFmtId="178" fontId="10" fillId="0" borderId="0" xfId="0" applyNumberFormat="1" applyFont="1" applyAlignment="1">
      <alignment horizontal="right"/>
    </xf>
    <xf numFmtId="1" fontId="10" fillId="0" borderId="0" xfId="0" applyNumberFormat="1" applyFont="1" applyAlignment="1">
      <alignment horizontal="right"/>
    </xf>
    <xf numFmtId="1" fontId="2" fillId="0" borderId="0" xfId="0" applyNumberFormat="1" applyFont="1" applyAlignment="1">
      <alignment horizontal="left" vertical="top" wrapText="1"/>
    </xf>
    <xf numFmtId="10" fontId="16" fillId="0" borderId="0" xfId="0" applyNumberFormat="1" applyFont="1" applyAlignment="1">
      <alignment horizontal="right" vertical="center"/>
    </xf>
    <xf numFmtId="9" fontId="11" fillId="0" borderId="0" xfId="0" applyNumberFormat="1" applyFont="1" applyAlignment="1">
      <alignment horizontal="right" vertical="center"/>
    </xf>
    <xf numFmtId="0" fontId="2" fillId="0" borderId="5" xfId="0" applyFont="1" applyBorder="1" applyAlignment="1">
      <alignment horizontal="left" vertical="top" wrapText="1"/>
    </xf>
    <xf numFmtId="0" fontId="0" fillId="0" borderId="5" xfId="0" applyBorder="1"/>
    <xf numFmtId="0" fontId="9" fillId="2" borderId="0" xfId="0" applyFont="1" applyFill="1" applyAlignment="1">
      <alignment horizontal="left" vertical="center"/>
    </xf>
    <xf numFmtId="0" fontId="0" fillId="0" borderId="0" xfId="0"/>
    <xf numFmtId="0" fontId="6" fillId="0" borderId="0" xfId="0" applyFont="1" applyAlignment="1">
      <alignment horizontal="left"/>
    </xf>
    <xf numFmtId="0" fontId="2" fillId="0" borderId="0" xfId="0" applyFont="1" applyAlignment="1">
      <alignment horizontal="left" vertical="top" wrapText="1"/>
    </xf>
    <xf numFmtId="164" fontId="15" fillId="0" borderId="0" xfId="0" applyNumberFormat="1" applyFont="1" applyAlignment="1">
      <alignment horizontal="left" indent="1"/>
    </xf>
    <xf numFmtId="0" fontId="6" fillId="0" borderId="0" xfId="0" applyFont="1" applyAlignment="1">
      <alignment horizontal="left" vertical="top" wrapText="1"/>
    </xf>
    <xf numFmtId="0" fontId="6" fillId="0" borderId="0" xfId="0" applyFont="1" applyAlignment="1">
      <alignment horizontal="left" vertical="center"/>
    </xf>
    <xf numFmtId="0" fontId="2" fillId="0" borderId="5"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CE6F1"/>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1F3864"/>
      <rgbColor rgb="FF4EA72E"/>
      <rgbColor rgb="FF003300"/>
      <rgbColor rgb="FF333300"/>
      <rgbColor rgb="FF9C5700"/>
      <rgbColor rgb="FF993366"/>
      <rgbColor rgb="FF2F549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F3864"/>
    <pageSetUpPr fitToPage="1"/>
  </sheetPr>
  <dimension ref="B2:G41"/>
  <sheetViews>
    <sheetView showGridLines="0" tabSelected="1" topLeftCell="A20" zoomScale="116" zoomScaleNormal="100" workbookViewId="0">
      <selection activeCell="D17" sqref="D17"/>
    </sheetView>
  </sheetViews>
  <sheetFormatPr baseColWidth="10" defaultColWidth="8.5" defaultRowHeight="16" x14ac:dyDescent="0.2"/>
  <cols>
    <col min="1" max="1" width="2.5" customWidth="1"/>
    <col min="2" max="2" width="24" customWidth="1"/>
    <col min="3" max="7" width="64" customWidth="1"/>
    <col min="8" max="8" width="2.5" customWidth="1"/>
  </cols>
  <sheetData>
    <row r="2" spans="2:7" ht="15" customHeight="1" x14ac:dyDescent="0.2">
      <c r="B2" s="6"/>
      <c r="C2" s="6"/>
      <c r="D2" s="6"/>
      <c r="E2" s="6"/>
      <c r="F2" s="6"/>
      <c r="G2" s="6"/>
    </row>
    <row r="3" spans="2:7" ht="26.25" customHeight="1" x14ac:dyDescent="0.2">
      <c r="B3" s="7" t="s">
        <v>102</v>
      </c>
      <c r="C3" s="6"/>
      <c r="D3" s="6"/>
      <c r="E3" s="6"/>
      <c r="F3" s="6"/>
      <c r="G3" s="6"/>
    </row>
    <row r="4" spans="2:7" ht="15" customHeight="1" x14ac:dyDescent="0.2">
      <c r="B4" s="8" t="s">
        <v>103</v>
      </c>
      <c r="C4" s="6"/>
      <c r="D4" s="6"/>
      <c r="E4" s="6"/>
      <c r="F4" s="6"/>
      <c r="G4" s="6"/>
    </row>
    <row r="5" spans="2:7" ht="15" customHeight="1" x14ac:dyDescent="0.2">
      <c r="B5" s="9"/>
      <c r="C5" s="9"/>
      <c r="D5" s="9"/>
      <c r="E5" s="9"/>
      <c r="F5" s="9"/>
      <c r="G5" s="9"/>
    </row>
    <row r="7" spans="2:7" ht="24" customHeight="1" x14ac:dyDescent="0.2">
      <c r="B7" s="10" t="s">
        <v>104</v>
      </c>
    </row>
    <row r="8" spans="2:7" ht="15" customHeight="1" x14ac:dyDescent="0.2">
      <c r="B8" s="1" t="s">
        <v>105</v>
      </c>
    </row>
    <row r="10" spans="2:7" ht="15" customHeight="1" x14ac:dyDescent="0.2">
      <c r="B10" s="11" t="s">
        <v>106</v>
      </c>
      <c r="C10" s="118" t="s">
        <v>107</v>
      </c>
    </row>
    <row r="11" spans="2:7" ht="15" customHeight="1" x14ac:dyDescent="0.2">
      <c r="B11" s="11" t="s">
        <v>108</v>
      </c>
      <c r="C11" s="118" t="s">
        <v>109</v>
      </c>
    </row>
    <row r="12" spans="2:7" ht="15" customHeight="1" x14ac:dyDescent="0.2">
      <c r="B12" s="11" t="s">
        <v>110</v>
      </c>
      <c r="C12" s="12" t="s">
        <v>111</v>
      </c>
    </row>
    <row r="13" spans="2:7" ht="15" customHeight="1" x14ac:dyDescent="0.2">
      <c r="B13" s="11" t="s">
        <v>112</v>
      </c>
      <c r="C13" s="12" t="s">
        <v>113</v>
      </c>
    </row>
    <row r="14" spans="2:7" ht="15" customHeight="1" x14ac:dyDescent="0.2">
      <c r="B14" s="11" t="s">
        <v>114</v>
      </c>
      <c r="C14" s="12" t="str">
        <f>'Model Inputs'!B215&amp;"   -  change at Cover!D16"</f>
        <v>3-Consultant-Average, mid-year update (June 2026)   -  change at Cover!D16</v>
      </c>
    </row>
    <row r="15" spans="2:7" x14ac:dyDescent="0.2">
      <c r="B15" t="s">
        <v>115</v>
      </c>
      <c r="C15" t="s">
        <v>742</v>
      </c>
    </row>
    <row r="16" spans="2:7" ht="15.75" customHeight="1" x14ac:dyDescent="0.2">
      <c r="B16" s="11" t="s">
        <v>116</v>
      </c>
      <c r="C16" s="13"/>
      <c r="D16" s="127">
        <v>2</v>
      </c>
      <c r="E16" s="13"/>
    </row>
    <row r="17" spans="2:7" ht="15" customHeight="1" x14ac:dyDescent="0.2">
      <c r="B17" s="11" t="s">
        <v>743</v>
      </c>
      <c r="D17" s="127">
        <v>1</v>
      </c>
      <c r="E17" s="14" t="str">
        <f>IF($D$17=2,"= PV8.5  (8.5%)","= PV10  (10.0%)")</f>
        <v>= PV10  (10.0%)</v>
      </c>
    </row>
    <row r="18" spans="2:7" ht="15" customHeight="1" x14ac:dyDescent="0.2">
      <c r="B18" s="4" t="s">
        <v>117</v>
      </c>
      <c r="D18" s="15"/>
    </row>
    <row r="19" spans="2:7" ht="15" customHeight="1" x14ac:dyDescent="0.2">
      <c r="B19" s="14" t="s">
        <v>118</v>
      </c>
      <c r="D19" s="123">
        <f>'NAV Model 1P'!B114</f>
        <v>39.920941023283419</v>
      </c>
    </row>
    <row r="20" spans="2:7" ht="15" customHeight="1" x14ac:dyDescent="0.2">
      <c r="B20" s="14" t="s">
        <v>119</v>
      </c>
      <c r="D20" s="123">
        <f>'NAV Model 2P'!B114</f>
        <v>54.945619324370654</v>
      </c>
    </row>
    <row r="21" spans="2:7" x14ac:dyDescent="0.2">
      <c r="B21" s="14" t="s">
        <v>112</v>
      </c>
      <c r="D21" s="123">
        <v>66.41</v>
      </c>
    </row>
    <row r="22" spans="2:7" x14ac:dyDescent="0.2">
      <c r="B22" s="14" t="s">
        <v>120</v>
      </c>
      <c r="D22" s="124">
        <f>D21/D20-1</f>
        <v>0.20864958510977072</v>
      </c>
    </row>
    <row r="23" spans="2:7" ht="15" customHeight="1" x14ac:dyDescent="0.2">
      <c r="B23" s="16"/>
      <c r="C23" s="13"/>
      <c r="D23" s="13"/>
      <c r="E23" s="13"/>
    </row>
    <row r="24" spans="2:7" ht="15" customHeight="1" x14ac:dyDescent="0.2">
      <c r="B24" s="4" t="s">
        <v>121</v>
      </c>
      <c r="C24" s="12"/>
    </row>
    <row r="25" spans="2:7" ht="15" customHeight="1" x14ac:dyDescent="0.2">
      <c r="B25" s="14" t="s">
        <v>122</v>
      </c>
      <c r="C25" s="12"/>
      <c r="D25" s="125">
        <f>'Sensitivities 1P'!B25+(D21-'Sensitivities 1P'!G25)*('Sensitivities 1P'!B35-'Sensitivities 1P'!B25)/('Sensitivities 1P'!G35-'Sensitivities 1P'!G25)</f>
        <v>89.622151005290533</v>
      </c>
    </row>
    <row r="26" spans="2:7" ht="15" customHeight="1" x14ac:dyDescent="0.2">
      <c r="B26" s="14" t="s">
        <v>123</v>
      </c>
      <c r="C26" s="12"/>
      <c r="D26" s="125">
        <f>'Sensitivities 2P'!B25+(D21-'Sensitivities 2P'!G25)*('Sensitivities 2P'!B35-'Sensitivities 2P'!B25)/('Sensitivities 2P'!G35-'Sensitivities 2P'!G25)</f>
        <v>78.505661987491052</v>
      </c>
    </row>
    <row r="27" spans="2:7" ht="60" customHeight="1" x14ac:dyDescent="0.2">
      <c r="B27" s="135" t="s">
        <v>124</v>
      </c>
      <c r="C27" s="134"/>
      <c r="D27" s="134"/>
      <c r="E27" s="134"/>
      <c r="F27" s="134"/>
      <c r="G27" s="134"/>
    </row>
    <row r="29" spans="2:7" ht="15" customHeight="1" x14ac:dyDescent="0.2">
      <c r="B29" s="4" t="s">
        <v>125</v>
      </c>
    </row>
    <row r="30" spans="2:7" x14ac:dyDescent="0.2">
      <c r="B30" s="14" t="s">
        <v>126</v>
      </c>
      <c r="D30" s="126">
        <f>'Model Inputs'!B227</f>
        <v>46255</v>
      </c>
    </row>
    <row r="31" spans="2:7" x14ac:dyDescent="0.2">
      <c r="B31" s="14" t="s">
        <v>127</v>
      </c>
      <c r="D31" s="125">
        <f>'Model Inputs'!B235</f>
        <v>39.824947483606202</v>
      </c>
    </row>
    <row r="32" spans="2:7" x14ac:dyDescent="0.2">
      <c r="B32" s="14" t="s">
        <v>128</v>
      </c>
      <c r="D32" s="125">
        <f>'Model Inputs'!B237</f>
        <v>54.813497576899145</v>
      </c>
    </row>
    <row r="33" spans="2:7" ht="46" customHeight="1" x14ac:dyDescent="0.2">
      <c r="B33" s="133" t="s">
        <v>129</v>
      </c>
      <c r="C33" s="134"/>
      <c r="D33" s="134"/>
      <c r="E33" s="134"/>
      <c r="F33" s="134"/>
      <c r="G33" s="134"/>
    </row>
    <row r="35" spans="2:7" x14ac:dyDescent="0.2">
      <c r="B35" s="4" t="s">
        <v>130</v>
      </c>
    </row>
    <row r="36" spans="2:7" x14ac:dyDescent="0.2">
      <c r="B36" s="14" t="s">
        <v>131</v>
      </c>
      <c r="C36" s="4" t="s">
        <v>132</v>
      </c>
    </row>
    <row r="37" spans="2:7" x14ac:dyDescent="0.2">
      <c r="B37" s="14" t="s">
        <v>133</v>
      </c>
      <c r="C37" s="4" t="s">
        <v>134</v>
      </c>
    </row>
    <row r="38" spans="2:7" x14ac:dyDescent="0.2">
      <c r="B38" s="14" t="s">
        <v>135</v>
      </c>
      <c r="C38" s="4" t="s">
        <v>136</v>
      </c>
    </row>
    <row r="39" spans="2:7" x14ac:dyDescent="0.2">
      <c r="B39" s="14" t="s">
        <v>137</v>
      </c>
      <c r="C39" s="4" t="s">
        <v>138</v>
      </c>
    </row>
    <row r="41" spans="2:7" x14ac:dyDescent="0.2">
      <c r="B41" s="133" t="s">
        <v>139</v>
      </c>
      <c r="C41" s="134"/>
      <c r="D41" s="134"/>
      <c r="E41" s="134"/>
      <c r="F41" s="134"/>
      <c r="G41" s="134"/>
    </row>
  </sheetData>
  <mergeCells count="3">
    <mergeCell ref="B33:G33"/>
    <mergeCell ref="B27:G27"/>
    <mergeCell ref="B41:G41"/>
  </mergeCells>
  <printOptions horizontalCentered="1"/>
  <pageMargins left="0.75" right="0.75" top="1" bottom="1" header="0.511811023622047" footer="0.511811023622047"/>
  <pageSetup paperSize="9"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1F3864"/>
    <pageSetUpPr fitToPage="1"/>
  </sheetPr>
  <dimension ref="B2:N33"/>
  <sheetViews>
    <sheetView showGridLines="0" topLeftCell="A11" zoomScale="132" zoomScaleNormal="100" workbookViewId="0">
      <selection activeCell="B33" sqref="B33"/>
    </sheetView>
  </sheetViews>
  <sheetFormatPr baseColWidth="10" defaultColWidth="8.5" defaultRowHeight="16" x14ac:dyDescent="0.2"/>
  <cols>
    <col min="1" max="1" width="3" customWidth="1"/>
    <col min="2" max="2" width="46" customWidth="1"/>
    <col min="3" max="3" width="14.6640625" customWidth="1"/>
    <col min="4" max="4" width="19.33203125" customWidth="1"/>
    <col min="5" max="5" width="3" customWidth="1"/>
    <col min="6" max="10" width="20" customWidth="1"/>
    <col min="11" max="11" width="3" customWidth="1"/>
    <col min="13" max="14" width="13" hidden="1" customWidth="1"/>
  </cols>
  <sheetData>
    <row r="2" spans="2:14" ht="15.75" customHeight="1" x14ac:dyDescent="0.2">
      <c r="B2" s="4" t="s">
        <v>140</v>
      </c>
      <c r="C2" s="18"/>
      <c r="D2" s="18"/>
      <c r="E2" s="18"/>
      <c r="F2" s="18"/>
      <c r="G2" s="18"/>
      <c r="H2" s="18"/>
      <c r="I2" s="18"/>
      <c r="J2" s="18"/>
    </row>
    <row r="4" spans="2:14" ht="42" customHeight="1" x14ac:dyDescent="0.2">
      <c r="B4" s="136" t="s">
        <v>141</v>
      </c>
      <c r="C4" s="134"/>
      <c r="D4" s="134"/>
      <c r="E4" s="134"/>
      <c r="F4" s="134"/>
      <c r="G4" s="134"/>
      <c r="H4" s="134"/>
      <c r="I4" s="134"/>
      <c r="J4" s="134"/>
    </row>
    <row r="6" spans="2:14" ht="15.75" customHeight="1" x14ac:dyDescent="0.2">
      <c r="B6" s="4" t="s">
        <v>142</v>
      </c>
      <c r="C6" s="13"/>
      <c r="D6" s="13"/>
      <c r="F6" s="133" t="s">
        <v>143</v>
      </c>
      <c r="G6" s="134"/>
      <c r="H6" s="134"/>
      <c r="I6" s="134"/>
      <c r="J6" s="134"/>
    </row>
    <row r="7" spans="2:14" ht="15" customHeight="1" x14ac:dyDescent="0.2">
      <c r="B7" s="19"/>
      <c r="C7" s="20" t="s">
        <v>144</v>
      </c>
      <c r="D7" s="20" t="s">
        <v>145</v>
      </c>
      <c r="F7" s="21" t="s">
        <v>146</v>
      </c>
      <c r="G7" s="137">
        <f>'NAV Model 1P'!B114</f>
        <v>39.920941023283419</v>
      </c>
      <c r="H7" s="134"/>
      <c r="I7" s="134"/>
      <c r="N7" s="22"/>
    </row>
    <row r="8" spans="2:14" ht="15" customHeight="1" x14ac:dyDescent="0.2">
      <c r="B8" s="21" t="s">
        <v>147</v>
      </c>
      <c r="C8" s="23">
        <f>'NAV Model 1P'!B103</f>
        <v>111054.65476703555</v>
      </c>
      <c r="D8" s="23">
        <f>'NAV Model 2P'!B103</f>
        <v>142517.19142993746</v>
      </c>
      <c r="F8" s="21" t="s">
        <v>148</v>
      </c>
      <c r="G8" s="137">
        <f>'NAV Model 2P'!B114</f>
        <v>54.945619324370654</v>
      </c>
      <c r="H8" s="134"/>
      <c r="I8" s="134"/>
      <c r="N8" s="22"/>
    </row>
    <row r="9" spans="2:14" ht="15" customHeight="1" x14ac:dyDescent="0.2">
      <c r="B9" s="21" t="s">
        <v>149</v>
      </c>
      <c r="C9" s="24">
        <f>'NAV Model 1P'!B104</f>
        <v>690</v>
      </c>
      <c r="D9" s="24">
        <f>'NAV Model 2P'!B104</f>
        <v>690</v>
      </c>
      <c r="F9" s="21" t="s">
        <v>112</v>
      </c>
      <c r="G9" s="137">
        <v>66.41</v>
      </c>
      <c r="H9" s="134"/>
      <c r="I9" s="134"/>
    </row>
    <row r="10" spans="2:14" ht="15" customHeight="1" x14ac:dyDescent="0.2">
      <c r="B10" s="21" t="s">
        <v>150</v>
      </c>
      <c r="C10" s="24">
        <f>'NAV Model 1P'!B105</f>
        <v>0</v>
      </c>
      <c r="D10" s="24">
        <f>'NAV Model 2P'!B105</f>
        <v>0</v>
      </c>
      <c r="F10" s="138" t="s">
        <v>151</v>
      </c>
      <c r="G10" s="134"/>
      <c r="H10" s="134"/>
      <c r="I10" s="134"/>
      <c r="J10" s="134"/>
    </row>
    <row r="11" spans="2:14" ht="15" customHeight="1" x14ac:dyDescent="0.2">
      <c r="B11" s="21" t="s">
        <v>152</v>
      </c>
      <c r="C11" s="24">
        <f>'NAV Model 1P'!B106</f>
        <v>-2048.884667730721</v>
      </c>
      <c r="D11" s="24">
        <f>'NAV Model 2P'!B106</f>
        <v>-2048.884667730721</v>
      </c>
    </row>
    <row r="12" spans="2:14" ht="15" customHeight="1" x14ac:dyDescent="0.2">
      <c r="B12" s="21" t="s">
        <v>61</v>
      </c>
      <c r="C12" s="24">
        <f>'NAV Model 1P'!B107</f>
        <v>-3106</v>
      </c>
      <c r="D12" s="24">
        <f>'NAV Model 2P'!B107</f>
        <v>-3106</v>
      </c>
    </row>
    <row r="13" spans="2:14" ht="15" customHeight="1" x14ac:dyDescent="0.2">
      <c r="B13" s="21" t="s">
        <v>153</v>
      </c>
      <c r="C13" s="24">
        <f>'NAV Model 1P'!B108</f>
        <v>-1656.3100000000002</v>
      </c>
      <c r="D13" s="24">
        <f>'NAV Model 2P'!B108</f>
        <v>-1656.3100000000002</v>
      </c>
    </row>
    <row r="14" spans="2:14" ht="15" customHeight="1" x14ac:dyDescent="0.2">
      <c r="B14" s="21" t="s">
        <v>154</v>
      </c>
      <c r="C14" s="24">
        <f>'NAV Model 1P'!B109</f>
        <v>-7159.4949110842726</v>
      </c>
      <c r="D14" s="24">
        <f>'NAV Model 2P'!B109</f>
        <v>-7280.9733289106416</v>
      </c>
    </row>
    <row r="15" spans="2:14" ht="15" customHeight="1" x14ac:dyDescent="0.2">
      <c r="B15" s="21" t="s">
        <v>68</v>
      </c>
      <c r="C15" s="24">
        <f>'NAV Model 1P'!B111</f>
        <v>-14500</v>
      </c>
      <c r="D15" s="24">
        <f>'NAV Model 2P'!B111</f>
        <v>-14500</v>
      </c>
    </row>
    <row r="16" spans="2:14" ht="15" customHeight="1" x14ac:dyDescent="0.2">
      <c r="B16" s="25" t="s">
        <v>155</v>
      </c>
      <c r="C16" s="26">
        <f>'NAV Model 1P'!B112</f>
        <v>83273.965188220565</v>
      </c>
      <c r="D16" s="26">
        <f>'NAV Model 2P'!B112</f>
        <v>114615.02343329611</v>
      </c>
    </row>
    <row r="17" spans="2:10" ht="15" customHeight="1" x14ac:dyDescent="0.2">
      <c r="B17" s="14" t="s">
        <v>156</v>
      </c>
      <c r="C17" s="27">
        <f>'NAV Model 1P'!B113</f>
        <v>2085.9720000000002</v>
      </c>
      <c r="D17" s="27">
        <f>'NAV Model 2P'!B113</f>
        <v>2085.9720000000002</v>
      </c>
    </row>
    <row r="18" spans="2:10" ht="15" customHeight="1" x14ac:dyDescent="0.2">
      <c r="B18" s="25" t="s">
        <v>157</v>
      </c>
      <c r="C18" s="28">
        <f>'NAV Model 1P'!B114</f>
        <v>39.920941023283419</v>
      </c>
      <c r="D18" s="28">
        <f>'NAV Model 2P'!B114</f>
        <v>54.945619324370654</v>
      </c>
    </row>
    <row r="20" spans="2:10" ht="15.75" customHeight="1" x14ac:dyDescent="0.2">
      <c r="B20" s="4" t="s">
        <v>158</v>
      </c>
      <c r="C20" s="13"/>
      <c r="D20" s="13"/>
      <c r="E20" s="13"/>
      <c r="F20" s="13"/>
      <c r="G20" s="13"/>
      <c r="H20" s="13"/>
      <c r="I20" s="13"/>
      <c r="J20" s="13"/>
    </row>
    <row r="21" spans="2:10" ht="25.5" customHeight="1" x14ac:dyDescent="0.2">
      <c r="B21" s="29" t="s">
        <v>159</v>
      </c>
      <c r="C21" s="136" t="s">
        <v>160</v>
      </c>
      <c r="D21" s="134"/>
      <c r="E21" s="134"/>
      <c r="F21" s="134"/>
      <c r="G21" s="134"/>
      <c r="H21" s="134"/>
      <c r="I21" s="134"/>
      <c r="J21" s="134"/>
    </row>
    <row r="22" spans="2:10" ht="25.5" customHeight="1" x14ac:dyDescent="0.2">
      <c r="B22" s="29" t="s">
        <v>161</v>
      </c>
      <c r="C22" s="136" t="s">
        <v>162</v>
      </c>
      <c r="D22" s="134"/>
      <c r="E22" s="134"/>
      <c r="F22" s="134"/>
      <c r="G22" s="134"/>
      <c r="H22" s="134"/>
      <c r="I22" s="134"/>
      <c r="J22" s="134"/>
    </row>
    <row r="24" spans="2:10" ht="15" customHeight="1" x14ac:dyDescent="0.2">
      <c r="B24" s="29" t="s">
        <v>163</v>
      </c>
    </row>
    <row r="25" spans="2:10" ht="15" customHeight="1" x14ac:dyDescent="0.2">
      <c r="B25" s="29" t="s">
        <v>164</v>
      </c>
      <c r="C25" s="29" t="s">
        <v>165</v>
      </c>
      <c r="D25" s="29" t="s">
        <v>166</v>
      </c>
    </row>
    <row r="26" spans="2:10" ht="15" customHeight="1" x14ac:dyDescent="0.2">
      <c r="B26" s="14" t="s">
        <v>167</v>
      </c>
      <c r="C26" s="110">
        <f>'Sensitivities 1P'!B36</f>
        <v>7.7731892223040013</v>
      </c>
      <c r="D26" s="110">
        <f>'Sensitivities 2P'!B36</f>
        <v>9.2836528229143269</v>
      </c>
    </row>
    <row r="27" spans="2:10" ht="15" customHeight="1" x14ac:dyDescent="0.2">
      <c r="B27" s="14" t="s">
        <v>168</v>
      </c>
      <c r="C27" s="110">
        <f>('Sensitivities 1P'!C46+('Sensitivities 1P'!C47-'Sensitivities 1P'!C46)*(75-'Sensitivities 1P'!$B$4)/5)-('Sensitivities 1P'!E46+('Sensitivities 1P'!E47-'Sensitivities 1P'!E46)*(75-'Sensitivities 1P'!$B$4)/5)</f>
        <v>11.889362365971756</v>
      </c>
      <c r="D27" s="110">
        <f>('Sensitivities 2P'!C46+('Sensitivities 2P'!C47-'Sensitivities 2P'!C46)*(75-'Sensitivities 2P'!$B$4)/5)-('Sensitivities 2P'!E46+('Sensitivities 2P'!E47-'Sensitivities 2P'!E46)*(75-'Sensitivities 2P'!$B$4)/5)</f>
        <v>15.263832197193231</v>
      </c>
    </row>
    <row r="28" spans="2:10" ht="15" customHeight="1" x14ac:dyDescent="0.2">
      <c r="B28" s="14" t="s">
        <v>169</v>
      </c>
      <c r="C28" s="110">
        <f>(('Sensitivities 1P'!H30+('Sensitivities 1P'!H31-'Sensitivities 1P'!H30)*(75-'Sensitivities 1P'!$B$4)/5)-('Sensitivities 1P'!F30+('Sensitivities 1P'!F31-'Sensitivities 1P'!F30)*(75-'Sensitivities 1P'!$B$4)/5))/2</f>
        <v>1.6790737803251403</v>
      </c>
      <c r="D28" s="110">
        <f>(('Sensitivities 2P'!H30+('Sensitivities 2P'!H31-'Sensitivities 2P'!H30)*(75-'Sensitivities 2P'!$B$4)/5)-('Sensitivities 2P'!F30+('Sensitivities 2P'!F31-'Sensitivities 2P'!F30)*(75-'Sensitivities 2P'!$B$4)/5))/2</f>
        <v>2.1260018342528682</v>
      </c>
    </row>
    <row r="29" spans="2:10" ht="15" customHeight="1" x14ac:dyDescent="0.2">
      <c r="B29" s="14" t="s">
        <v>170</v>
      </c>
      <c r="C29" s="110">
        <f>(('Sensitivities 1P'!G62+('Sensitivities 1P'!G63-'Sensitivities 1P'!G62)*(75-'Sensitivities 1P'!$B$4)/5)-('Sensitivities 1P'!E62+('Sensitivities 1P'!E63-'Sensitivities 1P'!E62)*(75-'Sensitivities 1P'!$B$4)/5))/2</f>
        <v>3.7245957005633734</v>
      </c>
      <c r="D29" s="110">
        <f>(('Sensitivities 2P'!G62+('Sensitivities 2P'!G63-'Sensitivities 2P'!G62)*(75-'Sensitivities 2P'!$B$4)/5)-('Sensitivities 2P'!E62+('Sensitivities 2P'!E63-'Sensitivities 2P'!E62)*(75-'Sensitivities 2P'!$B$4)/5))/2</f>
        <v>4.7216402263461887</v>
      </c>
    </row>
    <row r="30" spans="2:10" ht="15" customHeight="1" x14ac:dyDescent="0.2">
      <c r="B30" s="14" t="s">
        <v>171</v>
      </c>
      <c r="C30" s="110">
        <f>(('Sensitivities 1P'!D78+('Sensitivities 1P'!D79-'Sensitivities 1P'!D78)*(75-'Sensitivities 1P'!$B$4)/5)-('Sensitivities 1P'!F78+('Sensitivities 1P'!F79-'Sensitivities 1P'!F78)*(75-'Sensitivities 1P'!$B$4)/5))/2</f>
        <v>5.1834783877082735</v>
      </c>
      <c r="D30" s="110">
        <f>(('Sensitivities 2P'!D78+('Sensitivities 2P'!D79-'Sensitivities 2P'!D78)*(75-'Sensitivities 2P'!$B$4)/5)-('Sensitivities 2P'!F78+('Sensitivities 2P'!F79-'Sensitivities 2P'!F78)*(75-'Sensitivities 2P'!$B$4)/5))/2</f>
        <v>5.7177629714378426</v>
      </c>
    </row>
    <row r="31" spans="2:10" ht="15" customHeight="1" x14ac:dyDescent="0.2">
      <c r="B31" s="14" t="s">
        <v>172</v>
      </c>
      <c r="C31" s="110">
        <f>(('Sensitivities 1P'!D94+('Sensitivities 1P'!D95-'Sensitivities 1P'!D94)*(75-'Sensitivities 1P'!$B$4)/5)-('Sensitivities 1P'!F94+('Sensitivities 1P'!F95-'Sensitivities 1P'!F94)*(75-'Sensitivities 1P'!$B$4)/5))/2</f>
        <v>1.458164704321316</v>
      </c>
      <c r="D31" s="110">
        <f>(('Sensitivities 2P'!D94+('Sensitivities 2P'!D95-'Sensitivities 2P'!D94)*(75-'Sensitivities 2P'!$B$4)/5)-('Sensitivities 2P'!F94+('Sensitivities 2P'!F95-'Sensitivities 2P'!F94)*(75-'Sensitivities 2P'!$B$4)/5))/2</f>
        <v>1.6213500762183415</v>
      </c>
    </row>
    <row r="32" spans="2:10" ht="15" customHeight="1" x14ac:dyDescent="0.2">
      <c r="B32" s="14" t="s">
        <v>173</v>
      </c>
      <c r="C32" s="110">
        <f>('Sensitivities 1P'!E110+('Sensitivities 1P'!E111-'Sensitivities 1P'!E110)*(75-'Sensitivities 1P'!$B$4)/5)-('Sensitivities 1P'!D110+('Sensitivities 1P'!D111-'Sensitivities 1P'!D110)*(75-'Sensitivities 1P'!$B$4)/5)</f>
        <v>3.8681903624361453</v>
      </c>
      <c r="D32" s="110">
        <f>('Sensitivities 2P'!E110+('Sensitivities 2P'!E111-'Sensitivities 2P'!E110)*(75-'Sensitivities 2P'!$B$4)/5)-('Sensitivities 2P'!D110+('Sensitivities 2P'!D111-'Sensitivities 2P'!D110)*(75-'Sensitivities 2P'!$B$4)/5)</f>
        <v>4.6482827933263309</v>
      </c>
    </row>
    <row r="33" spans="2:2" x14ac:dyDescent="0.2">
      <c r="B33" s="14" t="s">
        <v>174</v>
      </c>
    </row>
  </sheetData>
  <mergeCells count="8">
    <mergeCell ref="B4:J4"/>
    <mergeCell ref="F6:J6"/>
    <mergeCell ref="C22:J22"/>
    <mergeCell ref="G7:I7"/>
    <mergeCell ref="C21:J21"/>
    <mergeCell ref="F10:J10"/>
    <mergeCell ref="G8:I8"/>
    <mergeCell ref="G9:I9"/>
  </mergeCells>
  <conditionalFormatting sqref="G7:I9">
    <cfRule type="dataBar" priority="2">
      <dataBar>
        <cfvo type="num" val="0"/>
        <cfvo type="num" val="75"/>
        <color rgb="FF2F5496"/>
      </dataBar>
      <extLst>
        <ext xmlns:x14="http://schemas.microsoft.com/office/spreadsheetml/2009/9/main" uri="{B025F937-C7B1-47D3-B67F-A62EFF666E3E}">
          <x14:id>{E440DEAB-66A3-4253-8C28-E2949853F5D5}</x14:id>
        </ext>
      </extLst>
    </cfRule>
  </conditionalFormatting>
  <printOptions horizontalCentered="1"/>
  <pageMargins left="0.75" right="0.75" top="1" bottom="1" header="0.511811023622047" footer="0.511811023622047"/>
  <pageSetup paperSize="9" fitToHeight="0" orientation="landscape" horizontalDpi="300" verticalDpi="300"/>
  <extLst>
    <ext xmlns:x14="http://schemas.microsoft.com/office/spreadsheetml/2009/9/main" uri="{78C0D931-6437-407d-A8EE-F0AAD7539E65}">
      <x14:conditionalFormattings>
        <x14:conditionalFormatting xmlns:xm="http://schemas.microsoft.com/office/excel/2006/main">
          <x14:cfRule type="dataBar" id="{E440DEAB-66A3-4253-8C28-E2949853F5D5}">
            <x14:dataBar axisPosition="none">
              <x14:cfvo type="num">
                <xm:f>0</xm:f>
              </x14:cfvo>
              <x14:cfvo type="num">
                <xm:f>75</xm:f>
              </x14:cfvo>
              <x14:negativeFillColor rgb="FF2F5496"/>
            </x14:dataBar>
          </x14:cfRule>
          <xm:sqref>G7:I9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F3864"/>
    <pageSetUpPr fitToPage="1"/>
  </sheetPr>
  <dimension ref="B2:F44"/>
  <sheetViews>
    <sheetView showGridLines="0" topLeftCell="A20" zoomScale="139" zoomScaleNormal="100" workbookViewId="0">
      <selection activeCell="D26" sqref="D26"/>
    </sheetView>
  </sheetViews>
  <sheetFormatPr baseColWidth="10" defaultColWidth="8.5" defaultRowHeight="16" x14ac:dyDescent="0.2"/>
  <cols>
    <col min="1" max="1" width="3" customWidth="1"/>
    <col min="2" max="2" width="32" customWidth="1"/>
    <col min="3" max="3" width="16" customWidth="1"/>
    <col min="4" max="4" width="54" customWidth="1"/>
    <col min="5" max="5" width="44" customWidth="1"/>
    <col min="6" max="6" width="14" customWidth="1"/>
  </cols>
  <sheetData>
    <row r="2" spans="2:6" ht="15.75" customHeight="1" x14ac:dyDescent="0.2">
      <c r="B2" s="4" t="s">
        <v>0</v>
      </c>
      <c r="C2" s="18"/>
      <c r="D2" s="18"/>
      <c r="E2" s="18"/>
      <c r="F2" s="18"/>
    </row>
    <row r="4" spans="2:6" ht="15" customHeight="1" x14ac:dyDescent="0.2">
      <c r="B4" s="19" t="s">
        <v>1</v>
      </c>
      <c r="C4" s="19" t="s">
        <v>2</v>
      </c>
      <c r="D4" s="19" t="s">
        <v>3</v>
      </c>
      <c r="E4" s="19" t="s">
        <v>4</v>
      </c>
      <c r="F4" s="30" t="s">
        <v>5</v>
      </c>
    </row>
    <row r="5" spans="2:6" ht="15.75" customHeight="1" x14ac:dyDescent="0.2">
      <c r="B5" s="31" t="s">
        <v>6</v>
      </c>
      <c r="C5" s="32"/>
      <c r="D5" s="32"/>
      <c r="E5" s="32"/>
      <c r="F5" s="32"/>
    </row>
    <row r="6" spans="2:6" ht="39.75" customHeight="1" x14ac:dyDescent="0.2">
      <c r="B6" s="33" t="s">
        <v>7</v>
      </c>
      <c r="C6" s="33" t="s">
        <v>8</v>
      </c>
      <c r="D6" s="33" t="s">
        <v>9</v>
      </c>
      <c r="E6" s="33" t="s">
        <v>10</v>
      </c>
      <c r="F6" s="34" t="s">
        <v>11</v>
      </c>
    </row>
    <row r="7" spans="2:6" ht="39.75" customHeight="1" x14ac:dyDescent="0.2">
      <c r="B7" s="33" t="s">
        <v>12</v>
      </c>
      <c r="C7" s="33" t="s">
        <v>13</v>
      </c>
      <c r="D7" s="33" t="s">
        <v>14</v>
      </c>
      <c r="E7" s="33" t="s">
        <v>15</v>
      </c>
      <c r="F7" s="34" t="s">
        <v>11</v>
      </c>
    </row>
    <row r="8" spans="2:6" ht="39.75" customHeight="1" x14ac:dyDescent="0.2">
      <c r="B8" s="33" t="s">
        <v>16</v>
      </c>
      <c r="C8" s="33" t="s">
        <v>17</v>
      </c>
      <c r="D8" s="33" t="s">
        <v>18</v>
      </c>
      <c r="E8" s="33" t="s">
        <v>19</v>
      </c>
      <c r="F8" s="34" t="s">
        <v>20</v>
      </c>
    </row>
    <row r="9" spans="2:6" ht="168" customHeight="1" x14ac:dyDescent="0.2">
      <c r="B9" s="33" t="s">
        <v>21</v>
      </c>
      <c r="C9" s="33" t="s">
        <v>22</v>
      </c>
      <c r="D9" s="33" t="s">
        <v>23</v>
      </c>
      <c r="E9" s="33" t="s">
        <v>24</v>
      </c>
      <c r="F9" s="34" t="s">
        <v>20</v>
      </c>
    </row>
    <row r="10" spans="2:6" ht="15.75" customHeight="1" x14ac:dyDescent="0.2">
      <c r="B10" s="31" t="s">
        <v>25</v>
      </c>
      <c r="C10" s="32"/>
      <c r="D10" s="32"/>
      <c r="E10" s="32"/>
      <c r="F10" s="32"/>
    </row>
    <row r="11" spans="2:6" ht="39.75" customHeight="1" x14ac:dyDescent="0.2">
      <c r="B11" s="33" t="s">
        <v>26</v>
      </c>
      <c r="C11" s="33" t="s">
        <v>713</v>
      </c>
      <c r="D11" s="33" t="s">
        <v>714</v>
      </c>
      <c r="E11" s="33" t="s">
        <v>715</v>
      </c>
      <c r="F11" s="34" t="s">
        <v>11</v>
      </c>
    </row>
    <row r="12" spans="2:6" ht="39.75" customHeight="1" x14ac:dyDescent="0.2">
      <c r="B12" s="33" t="s">
        <v>27</v>
      </c>
      <c r="C12" s="33" t="s">
        <v>28</v>
      </c>
      <c r="D12" s="33" t="s">
        <v>29</v>
      </c>
      <c r="E12" s="33" t="s">
        <v>30</v>
      </c>
      <c r="F12" s="34" t="s">
        <v>31</v>
      </c>
    </row>
    <row r="13" spans="2:6" ht="56" customHeight="1" x14ac:dyDescent="0.2">
      <c r="B13" s="33" t="s">
        <v>32</v>
      </c>
      <c r="C13" s="33" t="s">
        <v>33</v>
      </c>
      <c r="D13" s="33" t="s">
        <v>34</v>
      </c>
      <c r="E13" s="33" t="s">
        <v>35</v>
      </c>
      <c r="F13" s="34" t="s">
        <v>31</v>
      </c>
    </row>
    <row r="14" spans="2:6" ht="15.75" customHeight="1" x14ac:dyDescent="0.2">
      <c r="B14" s="31" t="s">
        <v>36</v>
      </c>
      <c r="C14" s="32"/>
      <c r="D14" s="32"/>
      <c r="E14" s="32"/>
      <c r="F14" s="32"/>
    </row>
    <row r="15" spans="2:6" ht="56" customHeight="1" x14ac:dyDescent="0.2">
      <c r="B15" s="33" t="s">
        <v>37</v>
      </c>
      <c r="C15" s="33" t="s">
        <v>716</v>
      </c>
      <c r="D15" s="140" t="s">
        <v>717</v>
      </c>
      <c r="E15" s="33" t="s">
        <v>718</v>
      </c>
      <c r="F15" s="34" t="s">
        <v>20</v>
      </c>
    </row>
    <row r="16" spans="2:6" ht="39.75" customHeight="1" x14ac:dyDescent="0.2">
      <c r="B16" s="33" t="s">
        <v>38</v>
      </c>
      <c r="C16" s="33" t="s">
        <v>719</v>
      </c>
      <c r="D16" s="140" t="s">
        <v>720</v>
      </c>
      <c r="E16" s="33" t="s">
        <v>721</v>
      </c>
      <c r="F16" s="34" t="s">
        <v>20</v>
      </c>
    </row>
    <row r="17" spans="2:6" ht="39.75" customHeight="1" x14ac:dyDescent="0.2">
      <c r="B17" s="33" t="s">
        <v>39</v>
      </c>
      <c r="C17" s="33" t="s">
        <v>40</v>
      </c>
      <c r="D17" s="33" t="s">
        <v>41</v>
      </c>
      <c r="E17" s="33" t="s">
        <v>42</v>
      </c>
      <c r="F17" s="34" t="s">
        <v>31</v>
      </c>
    </row>
    <row r="18" spans="2:6" ht="39.75" customHeight="1" x14ac:dyDescent="0.2">
      <c r="B18" s="33" t="s">
        <v>43</v>
      </c>
      <c r="C18" s="33" t="s">
        <v>722</v>
      </c>
      <c r="D18" s="140" t="s">
        <v>723</v>
      </c>
      <c r="E18" s="33" t="s">
        <v>724</v>
      </c>
      <c r="F18" s="34" t="s">
        <v>31</v>
      </c>
    </row>
    <row r="19" spans="2:6" ht="39.75" customHeight="1" x14ac:dyDescent="0.2">
      <c r="B19" s="33" t="s">
        <v>44</v>
      </c>
      <c r="C19" s="33" t="s">
        <v>725</v>
      </c>
      <c r="D19" s="33" t="s">
        <v>726</v>
      </c>
      <c r="E19" s="33" t="s">
        <v>45</v>
      </c>
      <c r="F19" s="34" t="s">
        <v>20</v>
      </c>
    </row>
    <row r="20" spans="2:6" ht="39.75" customHeight="1" x14ac:dyDescent="0.2">
      <c r="B20" s="33" t="s">
        <v>46</v>
      </c>
      <c r="C20" s="33" t="s">
        <v>727</v>
      </c>
      <c r="D20" s="33" t="s">
        <v>728</v>
      </c>
      <c r="E20" s="33" t="s">
        <v>729</v>
      </c>
      <c r="F20" s="34" t="s">
        <v>1</v>
      </c>
    </row>
    <row r="21" spans="2:6" ht="15.75" customHeight="1" x14ac:dyDescent="0.2">
      <c r="B21" s="31" t="s">
        <v>47</v>
      </c>
      <c r="C21" s="32"/>
      <c r="D21" s="32"/>
      <c r="E21" s="32"/>
      <c r="F21" s="32"/>
    </row>
    <row r="22" spans="2:6" ht="39.75" customHeight="1" x14ac:dyDescent="0.2">
      <c r="B22" s="33" t="s">
        <v>48</v>
      </c>
      <c r="C22" s="33" t="s">
        <v>49</v>
      </c>
      <c r="D22" s="33" t="s">
        <v>50</v>
      </c>
      <c r="E22" s="33" t="s">
        <v>51</v>
      </c>
      <c r="F22" s="35" t="s">
        <v>52</v>
      </c>
    </row>
    <row r="23" spans="2:6" ht="39.75" customHeight="1" x14ac:dyDescent="0.2">
      <c r="B23" s="33" t="s">
        <v>53</v>
      </c>
      <c r="C23" s="33" t="s">
        <v>54</v>
      </c>
      <c r="D23" s="33" t="s">
        <v>55</v>
      </c>
      <c r="E23" s="33" t="s">
        <v>56</v>
      </c>
      <c r="F23" s="34" t="s">
        <v>11</v>
      </c>
    </row>
    <row r="24" spans="2:6" ht="39.75" customHeight="1" x14ac:dyDescent="0.2">
      <c r="B24" s="33" t="s">
        <v>57</v>
      </c>
      <c r="C24" s="33" t="s">
        <v>58</v>
      </c>
      <c r="D24" s="33" t="s">
        <v>59</v>
      </c>
      <c r="E24" s="33" t="s">
        <v>60</v>
      </c>
      <c r="F24" s="34" t="s">
        <v>31</v>
      </c>
    </row>
    <row r="25" spans="2:6" ht="39.75" customHeight="1" x14ac:dyDescent="0.2">
      <c r="B25" s="33" t="s">
        <v>61</v>
      </c>
      <c r="C25" s="33" t="s">
        <v>62</v>
      </c>
      <c r="D25" s="33" t="s">
        <v>63</v>
      </c>
      <c r="E25" s="33" t="s">
        <v>64</v>
      </c>
      <c r="F25" s="34" t="s">
        <v>11</v>
      </c>
    </row>
    <row r="26" spans="2:6" ht="39.75" customHeight="1" x14ac:dyDescent="0.2">
      <c r="B26" s="33" t="s">
        <v>65</v>
      </c>
      <c r="C26" s="33" t="s">
        <v>730</v>
      </c>
      <c r="D26" s="140" t="s">
        <v>731</v>
      </c>
      <c r="E26" s="33" t="s">
        <v>732</v>
      </c>
      <c r="F26" s="35" t="s">
        <v>52</v>
      </c>
    </row>
    <row r="27" spans="2:6" ht="39.75" customHeight="1" x14ac:dyDescent="0.2">
      <c r="B27" s="33" t="s">
        <v>66</v>
      </c>
      <c r="C27" s="33" t="s">
        <v>733</v>
      </c>
      <c r="D27" s="33" t="s">
        <v>734</v>
      </c>
      <c r="E27" s="33" t="s">
        <v>67</v>
      </c>
      <c r="F27" s="34" t="s">
        <v>20</v>
      </c>
    </row>
    <row r="28" spans="2:6" ht="39.75" customHeight="1" x14ac:dyDescent="0.2">
      <c r="B28" s="33" t="s">
        <v>68</v>
      </c>
      <c r="C28" s="33" t="s">
        <v>735</v>
      </c>
      <c r="D28" s="33" t="s">
        <v>736</v>
      </c>
      <c r="E28" s="33" t="s">
        <v>737</v>
      </c>
      <c r="F28" s="34" t="s">
        <v>11</v>
      </c>
    </row>
    <row r="29" spans="2:6" ht="39.75" customHeight="1" x14ac:dyDescent="0.2">
      <c r="B29" s="33" t="s">
        <v>69</v>
      </c>
      <c r="C29" s="33" t="s">
        <v>70</v>
      </c>
      <c r="D29" s="33" t="s">
        <v>738</v>
      </c>
      <c r="E29" s="33" t="s">
        <v>71</v>
      </c>
      <c r="F29" s="34" t="s">
        <v>11</v>
      </c>
    </row>
    <row r="30" spans="2:6" ht="15.75" customHeight="1" x14ac:dyDescent="0.2">
      <c r="B30" s="31" t="s">
        <v>72</v>
      </c>
      <c r="C30" s="32"/>
      <c r="D30" s="32"/>
      <c r="E30" s="32"/>
      <c r="F30" s="32"/>
    </row>
    <row r="31" spans="2:6" ht="39.75" customHeight="1" x14ac:dyDescent="0.2">
      <c r="B31" s="33" t="s">
        <v>73</v>
      </c>
      <c r="C31" s="111">
        <f>'NAV Model 1P'!E89</f>
        <v>6.2853551225705573E-5</v>
      </c>
      <c r="D31" s="111" t="s">
        <v>74</v>
      </c>
      <c r="E31" s="111" t="s">
        <v>75</v>
      </c>
      <c r="F31" s="112" t="s">
        <v>76</v>
      </c>
    </row>
    <row r="32" spans="2:6" ht="70" customHeight="1" x14ac:dyDescent="0.2">
      <c r="B32" s="33" t="s">
        <v>77</v>
      </c>
      <c r="C32" s="111">
        <f>'NAV Model 1P'!E90</f>
        <v>2.8124229748734297E-2</v>
      </c>
      <c r="D32" s="33" t="s">
        <v>78</v>
      </c>
      <c r="E32" s="33" t="s">
        <v>79</v>
      </c>
      <c r="F32" s="34" t="s">
        <v>76</v>
      </c>
    </row>
    <row r="33" spans="2:6" ht="28" customHeight="1" x14ac:dyDescent="0.2">
      <c r="B33" s="33" t="s">
        <v>80</v>
      </c>
      <c r="C33" s="111">
        <f>'NAV Model 1P'!E91</f>
        <v>1.8400462176949128E-2</v>
      </c>
      <c r="D33" s="33" t="s">
        <v>739</v>
      </c>
      <c r="E33" s="33" t="s">
        <v>75</v>
      </c>
      <c r="F33" s="34" t="s">
        <v>76</v>
      </c>
    </row>
    <row r="34" spans="2:6" ht="84" customHeight="1" x14ac:dyDescent="0.2">
      <c r="B34" s="33" t="s">
        <v>81</v>
      </c>
      <c r="C34" s="111">
        <f>'NAV Model 1P'!E100</f>
        <v>-9.3179700757471062E-2</v>
      </c>
      <c r="D34" s="33" t="s">
        <v>82</v>
      </c>
      <c r="E34" s="33" t="s">
        <v>76</v>
      </c>
      <c r="F34" s="34" t="s">
        <v>76</v>
      </c>
    </row>
    <row r="35" spans="2:6" ht="39.75" customHeight="1" x14ac:dyDescent="0.2">
      <c r="B35" s="33" t="s">
        <v>83</v>
      </c>
      <c r="C35" s="111">
        <f>'NAV Model 2P'!E89</f>
        <v>1.6064257028158835E-5</v>
      </c>
      <c r="D35" s="33" t="s">
        <v>84</v>
      </c>
      <c r="E35" s="33" t="s">
        <v>85</v>
      </c>
      <c r="F35" s="34" t="s">
        <v>76</v>
      </c>
    </row>
    <row r="36" spans="2:6" ht="70" customHeight="1" x14ac:dyDescent="0.2">
      <c r="B36" s="33" t="s">
        <v>86</v>
      </c>
      <c r="C36" s="111">
        <f>'NAV Model 2P'!E90</f>
        <v>-0.11977474838500035</v>
      </c>
      <c r="D36" s="33" t="s">
        <v>87</v>
      </c>
      <c r="E36" s="33" t="s">
        <v>79</v>
      </c>
      <c r="F36" s="34" t="s">
        <v>76</v>
      </c>
    </row>
    <row r="37" spans="2:6" ht="42" x14ac:dyDescent="0.2">
      <c r="B37" s="33" t="s">
        <v>88</v>
      </c>
      <c r="C37" s="111">
        <f>'NAV Model 2P'!E91</f>
        <v>1.8261073987525078E-2</v>
      </c>
      <c r="D37" s="33" t="s">
        <v>740</v>
      </c>
      <c r="E37" s="33" t="s">
        <v>85</v>
      </c>
      <c r="F37" s="34" t="s">
        <v>76</v>
      </c>
    </row>
    <row r="38" spans="2:6" ht="46" customHeight="1" x14ac:dyDescent="0.2">
      <c r="B38" s="33" t="s">
        <v>89</v>
      </c>
      <c r="C38" s="111">
        <f>'NAV Model 1P'!E98</f>
        <v>3.3928851265497828E-2</v>
      </c>
      <c r="D38" s="111" t="s">
        <v>741</v>
      </c>
      <c r="E38" s="111" t="s">
        <v>75</v>
      </c>
      <c r="F38" s="112" t="s">
        <v>76</v>
      </c>
    </row>
    <row r="39" spans="2:6" ht="46" customHeight="1" x14ac:dyDescent="0.2">
      <c r="B39" s="33" t="s">
        <v>90</v>
      </c>
      <c r="C39" s="111">
        <f>'NAV Model 1P'!E99</f>
        <v>-0.20036046593118517</v>
      </c>
      <c r="D39" s="111" t="s">
        <v>91</v>
      </c>
      <c r="E39" s="111" t="s">
        <v>92</v>
      </c>
      <c r="F39" s="112" t="s">
        <v>76</v>
      </c>
    </row>
    <row r="40" spans="2:6" ht="46" customHeight="1" x14ac:dyDescent="0.2">
      <c r="B40" s="33" t="s">
        <v>93</v>
      </c>
      <c r="C40" s="111">
        <f>'NAV Model 1P'!E100</f>
        <v>-9.3179700757471062E-2</v>
      </c>
      <c r="D40" s="111" t="s">
        <v>94</v>
      </c>
      <c r="E40" s="111" t="s">
        <v>92</v>
      </c>
      <c r="F40" s="112" t="s">
        <v>76</v>
      </c>
    </row>
    <row r="41" spans="2:6" ht="46" customHeight="1" x14ac:dyDescent="0.2">
      <c r="B41" s="33" t="s">
        <v>95</v>
      </c>
      <c r="C41" s="111">
        <f>'NAV Model 2P'!E99</f>
        <v>-0.13102521592515359</v>
      </c>
      <c r="D41" s="111" t="s">
        <v>96</v>
      </c>
      <c r="E41" s="111" t="s">
        <v>97</v>
      </c>
      <c r="F41" s="112" t="s">
        <v>76</v>
      </c>
    </row>
    <row r="42" spans="2:6" ht="46" customHeight="1" x14ac:dyDescent="0.2">
      <c r="B42" s="33" t="s">
        <v>98</v>
      </c>
      <c r="C42" s="111" t="str">
        <f>'NAV Model 2P'!E100</f>
        <v/>
      </c>
      <c r="D42" s="111" t="s">
        <v>99</v>
      </c>
      <c r="E42" s="111" t="s">
        <v>100</v>
      </c>
      <c r="F42" s="112" t="s">
        <v>76</v>
      </c>
    </row>
    <row r="44" spans="2:6" ht="40" customHeight="1" x14ac:dyDescent="0.2">
      <c r="B44" s="131" t="s">
        <v>101</v>
      </c>
      <c r="C44" s="132"/>
      <c r="D44" s="132"/>
      <c r="E44" s="132"/>
      <c r="F44" s="132"/>
    </row>
  </sheetData>
  <mergeCells count="1">
    <mergeCell ref="B44:F44"/>
  </mergeCells>
  <printOptions horizontalCentered="1"/>
  <pageMargins left="0.75" right="0.75" top="1" bottom="1" header="0.511811023622047" footer="0.511811023622047"/>
  <pageSetup paperSize="9" fitToHeight="0"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2F5496"/>
  </sheetPr>
  <dimension ref="A1:BO132"/>
  <sheetViews>
    <sheetView showGridLines="0" zoomScaleNormal="125" workbookViewId="0">
      <pane xSplit="2" ySplit="4" topLeftCell="AC5" activePane="bottomRight" state="frozen"/>
      <selection pane="topRight"/>
      <selection pane="bottomLeft" activeCell="A6" sqref="A6"/>
      <selection pane="bottomRight" activeCell="F12" sqref="F12"/>
    </sheetView>
  </sheetViews>
  <sheetFormatPr baseColWidth="10" defaultColWidth="8.5" defaultRowHeight="16" x14ac:dyDescent="0.2"/>
  <cols>
    <col min="1" max="1" width="48" customWidth="1"/>
    <col min="2" max="2" width="14" customWidth="1"/>
    <col min="3" max="42" width="11" customWidth="1"/>
    <col min="43" max="67" width="13" customWidth="1"/>
  </cols>
  <sheetData>
    <row r="1" spans="1:67" ht="17.25" customHeight="1" x14ac:dyDescent="0.2">
      <c r="A1" s="36" t="s">
        <v>175</v>
      </c>
    </row>
    <row r="2" spans="1:67" ht="15" customHeight="1" x14ac:dyDescent="0.2">
      <c r="A2" s="1" t="s">
        <v>176</v>
      </c>
    </row>
    <row r="4" spans="1:67" ht="15" customHeight="1" x14ac:dyDescent="0.2">
      <c r="A4" s="25" t="s">
        <v>177</v>
      </c>
      <c r="C4" s="55">
        <v>2026</v>
      </c>
      <c r="D4" s="55">
        <v>2027</v>
      </c>
      <c r="E4" s="55">
        <v>2028</v>
      </c>
      <c r="F4" s="55">
        <v>2029</v>
      </c>
      <c r="G4" s="55">
        <v>2030</v>
      </c>
      <c r="H4" s="55">
        <v>2031</v>
      </c>
      <c r="I4" s="55">
        <v>2032</v>
      </c>
      <c r="J4" s="55">
        <v>2033</v>
      </c>
      <c r="K4" s="55">
        <v>2034</v>
      </c>
      <c r="L4" s="55">
        <v>2035</v>
      </c>
      <c r="M4" s="55">
        <v>2036</v>
      </c>
      <c r="N4" s="55">
        <v>2037</v>
      </c>
      <c r="O4" s="55">
        <v>2038</v>
      </c>
      <c r="P4" s="55">
        <v>2039</v>
      </c>
      <c r="Q4" s="55">
        <v>2040</v>
      </c>
      <c r="R4" s="55">
        <v>2041</v>
      </c>
      <c r="S4" s="55">
        <v>2042</v>
      </c>
      <c r="T4" s="55">
        <v>2043</v>
      </c>
      <c r="U4" s="55">
        <v>2044</v>
      </c>
      <c r="V4" s="55">
        <v>2045</v>
      </c>
      <c r="W4" s="55">
        <v>2046</v>
      </c>
      <c r="X4" s="55">
        <v>2047</v>
      </c>
      <c r="Y4" s="55">
        <v>2048</v>
      </c>
      <c r="Z4" s="55">
        <v>2049</v>
      </c>
      <c r="AA4" s="55">
        <v>2050</v>
      </c>
      <c r="AB4" s="55">
        <v>2051</v>
      </c>
      <c r="AC4" s="55">
        <v>2052</v>
      </c>
      <c r="AD4" s="55">
        <v>2053</v>
      </c>
      <c r="AE4" s="55">
        <v>2054</v>
      </c>
      <c r="AF4" s="55">
        <v>2055</v>
      </c>
      <c r="AG4" s="55">
        <v>2056</v>
      </c>
      <c r="AH4" s="55">
        <v>2057</v>
      </c>
      <c r="AI4" s="55">
        <v>2058</v>
      </c>
      <c r="AJ4" s="55">
        <v>2059</v>
      </c>
      <c r="AK4" s="55">
        <v>2060</v>
      </c>
      <c r="AL4" s="55">
        <v>2061</v>
      </c>
      <c r="AM4" s="55">
        <v>2062</v>
      </c>
      <c r="AN4" s="55">
        <v>2063</v>
      </c>
      <c r="AO4" s="55">
        <v>2064</v>
      </c>
      <c r="AP4" s="55">
        <v>2065</v>
      </c>
      <c r="AQ4" s="56">
        <v>2066</v>
      </c>
      <c r="AR4" s="56">
        <v>2067</v>
      </c>
      <c r="AS4" s="56">
        <v>2068</v>
      </c>
      <c r="AT4" s="56">
        <v>2069</v>
      </c>
      <c r="AU4" s="56">
        <v>2070</v>
      </c>
      <c r="AV4" s="56">
        <v>2071</v>
      </c>
      <c r="AW4" s="56">
        <v>2072</v>
      </c>
      <c r="AX4" s="56">
        <v>2073</v>
      </c>
      <c r="AY4" s="56">
        <v>2074</v>
      </c>
      <c r="AZ4" s="56">
        <v>2075</v>
      </c>
      <c r="BA4" s="56">
        <v>2076</v>
      </c>
      <c r="BB4" s="56">
        <v>2077</v>
      </c>
      <c r="BC4" s="56">
        <v>2078</v>
      </c>
      <c r="BD4" s="56">
        <v>2079</v>
      </c>
      <c r="BE4" s="56">
        <v>2080</v>
      </c>
      <c r="BF4" s="56">
        <v>2081</v>
      </c>
      <c r="BG4" s="56">
        <v>2082</v>
      </c>
      <c r="BH4" s="56">
        <v>2083</v>
      </c>
      <c r="BI4" s="56">
        <v>2084</v>
      </c>
      <c r="BJ4" s="56">
        <v>2085</v>
      </c>
      <c r="BK4" s="56">
        <v>2086</v>
      </c>
      <c r="BL4" s="56">
        <v>2087</v>
      </c>
      <c r="BM4" s="56">
        <v>2088</v>
      </c>
      <c r="BN4" s="56">
        <v>2089</v>
      </c>
      <c r="BO4" s="56">
        <v>2090</v>
      </c>
    </row>
    <row r="5" spans="1:67" ht="15" customHeight="1" x14ac:dyDescent="0.2">
      <c r="A5" s="57" t="s">
        <v>178</v>
      </c>
      <c r="C5" s="58">
        <v>1</v>
      </c>
      <c r="D5" s="58">
        <v>2</v>
      </c>
      <c r="E5" s="58">
        <v>3</v>
      </c>
      <c r="F5" s="58">
        <v>4</v>
      </c>
      <c r="G5" s="58">
        <v>5</v>
      </c>
      <c r="H5" s="58">
        <v>6</v>
      </c>
      <c r="I5" s="58">
        <v>7</v>
      </c>
      <c r="J5" s="58">
        <v>8</v>
      </c>
      <c r="K5" s="58">
        <v>9</v>
      </c>
      <c r="L5" s="58">
        <v>10</v>
      </c>
      <c r="M5" s="58">
        <v>11</v>
      </c>
      <c r="N5" s="58">
        <v>12</v>
      </c>
      <c r="O5" s="58">
        <v>13</v>
      </c>
      <c r="P5" s="58">
        <v>14</v>
      </c>
      <c r="Q5" s="58">
        <v>15</v>
      </c>
      <c r="R5" s="58">
        <v>16</v>
      </c>
      <c r="S5" s="58">
        <v>17</v>
      </c>
      <c r="T5" s="58">
        <v>18</v>
      </c>
      <c r="U5" s="58">
        <v>19</v>
      </c>
      <c r="V5" s="58">
        <v>20</v>
      </c>
      <c r="W5" s="58">
        <v>21</v>
      </c>
      <c r="X5" s="58">
        <v>22</v>
      </c>
      <c r="Y5" s="58">
        <v>23</v>
      </c>
      <c r="Z5" s="58">
        <v>24</v>
      </c>
      <c r="AA5" s="58">
        <v>25</v>
      </c>
      <c r="AB5" s="58">
        <v>26</v>
      </c>
      <c r="AC5" s="58">
        <v>27</v>
      </c>
      <c r="AD5" s="58">
        <v>28</v>
      </c>
      <c r="AE5" s="58">
        <v>29</v>
      </c>
      <c r="AF5" s="58">
        <v>30</v>
      </c>
      <c r="AG5" s="58">
        <v>31</v>
      </c>
      <c r="AH5" s="58">
        <v>32</v>
      </c>
      <c r="AI5" s="58">
        <v>33</v>
      </c>
      <c r="AJ5" s="58">
        <v>34</v>
      </c>
      <c r="AK5" s="58">
        <v>35</v>
      </c>
      <c r="AL5" s="58">
        <v>36</v>
      </c>
      <c r="AM5" s="58">
        <v>37</v>
      </c>
      <c r="AN5" s="58">
        <v>38</v>
      </c>
      <c r="AO5" s="58">
        <v>39</v>
      </c>
      <c r="AP5" s="58">
        <v>40</v>
      </c>
      <c r="AQ5" s="40">
        <v>41</v>
      </c>
      <c r="AR5" s="40">
        <v>42</v>
      </c>
      <c r="AS5" s="40">
        <v>43</v>
      </c>
      <c r="AT5" s="40">
        <v>44</v>
      </c>
      <c r="AU5" s="40">
        <v>45</v>
      </c>
      <c r="AV5" s="40">
        <v>46</v>
      </c>
      <c r="AW5" s="40">
        <v>47</v>
      </c>
      <c r="AX5" s="40">
        <v>48</v>
      </c>
      <c r="AY5" s="40">
        <v>49</v>
      </c>
      <c r="AZ5" s="40">
        <v>50</v>
      </c>
      <c r="BA5" s="40">
        <v>51</v>
      </c>
      <c r="BB5" s="40">
        <v>52</v>
      </c>
      <c r="BC5" s="40">
        <v>53</v>
      </c>
      <c r="BD5" s="40">
        <v>54</v>
      </c>
      <c r="BE5" s="40">
        <v>55</v>
      </c>
      <c r="BF5" s="40">
        <v>56</v>
      </c>
      <c r="BG5" s="40">
        <v>57</v>
      </c>
      <c r="BH5" s="40">
        <v>58</v>
      </c>
      <c r="BI5" s="40">
        <v>59</v>
      </c>
      <c r="BJ5" s="40">
        <v>60</v>
      </c>
      <c r="BK5" s="40">
        <v>61</v>
      </c>
      <c r="BL5" s="40">
        <v>62</v>
      </c>
      <c r="BM5" s="40">
        <v>63</v>
      </c>
      <c r="BN5" s="40">
        <v>64</v>
      </c>
      <c r="BO5" s="40">
        <v>65</v>
      </c>
    </row>
    <row r="6" spans="1:67" ht="15" customHeight="1" x14ac:dyDescent="0.2">
      <c r="A6" s="14" t="s">
        <v>179</v>
      </c>
      <c r="C6" s="42">
        <f>1/(1+'Model Inputs'!$B$6)^(C5-'Model Inputs'!$B$7)</f>
        <v>0.95346258924559224</v>
      </c>
      <c r="D6" s="42">
        <f>1/(1+'Model Inputs'!$B$6)^(D5-'Model Inputs'!$B$7)</f>
        <v>0.86678417204144742</v>
      </c>
      <c r="E6" s="42">
        <f>1/(1+'Model Inputs'!$B$6)^(E5-'Model Inputs'!$B$7)</f>
        <v>0.78798561094677033</v>
      </c>
      <c r="F6" s="42">
        <f>1/(1+'Model Inputs'!$B$6)^(F5-'Model Inputs'!$B$7)</f>
        <v>0.71635055540615489</v>
      </c>
      <c r="G6" s="42">
        <f>1/(1+'Model Inputs'!$B$6)^(G5-'Model Inputs'!$B$7)</f>
        <v>0.65122777764195883</v>
      </c>
      <c r="H6" s="42">
        <f>1/(1+'Model Inputs'!$B$6)^(H5-'Model Inputs'!$B$7)</f>
        <v>0.59202525240178083</v>
      </c>
      <c r="I6" s="42">
        <f>1/(1+'Model Inputs'!$B$6)^(I5-'Model Inputs'!$B$7)</f>
        <v>0.53820477491070973</v>
      </c>
      <c r="J6" s="42">
        <f>1/(1+'Model Inputs'!$B$6)^(J5-'Model Inputs'!$B$7)</f>
        <v>0.48927706810064514</v>
      </c>
      <c r="K6" s="42">
        <f>1/(1+'Model Inputs'!$B$6)^(K5-'Model Inputs'!$B$7)</f>
        <v>0.44479733463695009</v>
      </c>
      <c r="L6" s="42">
        <f>1/(1+'Model Inputs'!$B$6)^(L5-'Model Inputs'!$B$7)</f>
        <v>0.4043612133063183</v>
      </c>
      <c r="M6" s="42">
        <f>1/(1+'Model Inputs'!$B$6)^(M5-'Model Inputs'!$B$7)</f>
        <v>0.36760110300574383</v>
      </c>
      <c r="N6" s="42">
        <f>1/(1+'Model Inputs'!$B$6)^(N5-'Model Inputs'!$B$7)</f>
        <v>0.33418282091431251</v>
      </c>
      <c r="O6" s="42">
        <f>1/(1+'Model Inputs'!$B$6)^(O5-'Model Inputs'!$B$7)</f>
        <v>0.30380256446755688</v>
      </c>
      <c r="P6" s="42">
        <f>1/(1+'Model Inputs'!$B$6)^(P5-'Model Inputs'!$B$7)</f>
        <v>0.27618414951596076</v>
      </c>
      <c r="Q6" s="42">
        <f>1/(1+'Model Inputs'!$B$6)^(Q5-'Model Inputs'!$B$7)</f>
        <v>0.25107649955996431</v>
      </c>
      <c r="R6" s="42">
        <f>1/(1+'Model Inputs'!$B$6)^(R5-'Model Inputs'!$B$7)</f>
        <v>0.22825136323633116</v>
      </c>
      <c r="S6" s="42">
        <f>1/(1+'Model Inputs'!$B$6)^(S5-'Model Inputs'!$B$7)</f>
        <v>0.20750123930575562</v>
      </c>
      <c r="T6" s="42">
        <f>1/(1+'Model Inputs'!$B$6)^(T5-'Model Inputs'!$B$7)</f>
        <v>0.18863749027795962</v>
      </c>
      <c r="U6" s="42">
        <f>1/(1+'Model Inputs'!$B$6)^(U5-'Model Inputs'!$B$7)</f>
        <v>0.17148862752541782</v>
      </c>
      <c r="V6" s="42">
        <f>1/(1+'Model Inputs'!$B$6)^(V5-'Model Inputs'!$B$7)</f>
        <v>0.15589875229583436</v>
      </c>
      <c r="W6" s="42">
        <f>1/(1+'Model Inputs'!$B$6)^(W5-'Model Inputs'!$B$7)</f>
        <v>0.14172613845075852</v>
      </c>
      <c r="X6" s="42">
        <f>1/(1+'Model Inputs'!$B$6)^(X5-'Model Inputs'!$B$7)</f>
        <v>0.1288419440461441</v>
      </c>
      <c r="Y6" s="42">
        <f>1/(1+'Model Inputs'!$B$6)^(Y5-'Model Inputs'!$B$7)</f>
        <v>0.11712904004194918</v>
      </c>
      <c r="Z6" s="42">
        <f>1/(1+'Model Inputs'!$B$6)^(Z5-'Model Inputs'!$B$7)</f>
        <v>0.10648094549268106</v>
      </c>
      <c r="AA6" s="42">
        <f>1/(1+'Model Inputs'!$B$6)^(AA5-'Model Inputs'!$B$7)</f>
        <v>9.6800859538800965E-2</v>
      </c>
      <c r="AB6" s="42">
        <f>1/(1+'Model Inputs'!$B$6)^(AB5-'Model Inputs'!$B$7)</f>
        <v>8.8000781398909919E-2</v>
      </c>
      <c r="AC6" s="42">
        <f>1/(1+'Model Inputs'!$B$6)^(AC5-'Model Inputs'!$B$7)</f>
        <v>8.0000710362645402E-2</v>
      </c>
      <c r="AD6" s="42">
        <f>1/(1+'Model Inputs'!$B$6)^(AD5-'Model Inputs'!$B$7)</f>
        <v>7.272791851149582E-2</v>
      </c>
      <c r="AE6" s="42">
        <f>1/(1+'Model Inputs'!$B$6)^(AE5-'Model Inputs'!$B$7)</f>
        <v>6.6116289555905275E-2</v>
      </c>
      <c r="AF6" s="42">
        <f>1/(1+'Model Inputs'!$B$6)^(AF5-'Model Inputs'!$B$7)</f>
        <v>6.0105717778095702E-2</v>
      </c>
      <c r="AG6" s="42">
        <f>1/(1+'Model Inputs'!$B$6)^(AG5-'Model Inputs'!$B$7)</f>
        <v>5.4641561616450646E-2</v>
      </c>
      <c r="AH6" s="42">
        <f>1/(1+'Model Inputs'!$B$6)^(AH5-'Model Inputs'!$B$7)</f>
        <v>4.967414692404603E-2</v>
      </c>
      <c r="AI6" s="42">
        <f>1/(1+'Model Inputs'!$B$6)^(AI5-'Model Inputs'!$B$7)</f>
        <v>4.5158315385496389E-2</v>
      </c>
      <c r="AJ6" s="42">
        <f>1/(1+'Model Inputs'!$B$6)^(AJ5-'Model Inputs'!$B$7)</f>
        <v>4.1053013986814886E-2</v>
      </c>
      <c r="AK6" s="42">
        <f>1/(1+'Model Inputs'!$B$6)^(AK5-'Model Inputs'!$B$7)</f>
        <v>3.7320921806195353E-2</v>
      </c>
      <c r="AL6" s="42">
        <f>1/(1+'Model Inputs'!$B$6)^(AL5-'Model Inputs'!$B$7)</f>
        <v>3.3928110732904866E-2</v>
      </c>
      <c r="AM6" s="42">
        <f>1/(1+'Model Inputs'!$B$6)^(AM5-'Model Inputs'!$B$7)</f>
        <v>3.0843737029913505E-2</v>
      </c>
      <c r="AN6" s="42">
        <f>1/(1+'Model Inputs'!$B$6)^(AN5-'Model Inputs'!$B$7)</f>
        <v>2.8039760936285012E-2</v>
      </c>
      <c r="AO6" s="42">
        <f>1/(1+'Model Inputs'!$B$6)^(AO5-'Model Inputs'!$B$7)</f>
        <v>2.5490691760259102E-2</v>
      </c>
      <c r="AP6" s="42">
        <f>1/(1+'Model Inputs'!$B$6)^(AP5-'Model Inputs'!$B$7)</f>
        <v>2.3173356145690084E-2</v>
      </c>
      <c r="AQ6" s="42">
        <f>1/(1+'Model Inputs'!$B$6)^(AQ5-'Model Inputs'!$B$7)</f>
        <v>2.1066687405172806E-2</v>
      </c>
      <c r="AR6" s="42">
        <f>1/(1+'Model Inputs'!$B$6)^(AR5-'Model Inputs'!$B$7)</f>
        <v>1.9151534004702545E-2</v>
      </c>
      <c r="AS6" s="42">
        <f>1/(1+'Model Inputs'!$B$6)^(AS5-'Model Inputs'!$B$7)</f>
        <v>1.7410485458820502E-2</v>
      </c>
      <c r="AT6" s="42">
        <f>1/(1+'Model Inputs'!$B$6)^(AT5-'Model Inputs'!$B$7)</f>
        <v>1.5827714053473173E-2</v>
      </c>
      <c r="AU6" s="42">
        <f>1/(1+'Model Inputs'!$B$6)^(AU5-'Model Inputs'!$B$7)</f>
        <v>1.4388830957702884E-2</v>
      </c>
      <c r="AV6" s="42">
        <f>1/(1+'Model Inputs'!$B$6)^(AV5-'Model Inputs'!$B$7)</f>
        <v>1.3080755416093532E-2</v>
      </c>
      <c r="AW6" s="42">
        <f>1/(1+'Model Inputs'!$B$6)^(AW5-'Model Inputs'!$B$7)</f>
        <v>1.1891595832812305E-2</v>
      </c>
      <c r="AX6" s="42">
        <f>1/(1+'Model Inputs'!$B$6)^(AX5-'Model Inputs'!$B$7)</f>
        <v>1.0810541666193005E-2</v>
      </c>
      <c r="AY6" s="42">
        <f>1/(1+'Model Inputs'!$B$6)^(AY5-'Model Inputs'!$B$7)</f>
        <v>9.8277651510845412E-3</v>
      </c>
      <c r="AZ6" s="42">
        <f>1/(1+'Model Inputs'!$B$6)^(AZ5-'Model Inputs'!$B$7)</f>
        <v>8.9343319555314025E-3</v>
      </c>
      <c r="BA6" s="42">
        <f>1/(1+'Model Inputs'!$B$6)^(BA5-'Model Inputs'!$B$7)</f>
        <v>8.1221199595740041E-3</v>
      </c>
      <c r="BB6" s="42">
        <f>1/(1+'Model Inputs'!$B$6)^(BB5-'Model Inputs'!$B$7)</f>
        <v>7.3837454177945487E-3</v>
      </c>
      <c r="BC6" s="42">
        <f>1/(1+'Model Inputs'!$B$6)^(BC5-'Model Inputs'!$B$7)</f>
        <v>6.7124958343586817E-3</v>
      </c>
      <c r="BD6" s="42">
        <f>1/(1+'Model Inputs'!$B$6)^(BD5-'Model Inputs'!$B$7)</f>
        <v>6.1022689403260697E-3</v>
      </c>
      <c r="BE6" s="42">
        <f>1/(1+'Model Inputs'!$B$6)^(BE5-'Model Inputs'!$B$7)</f>
        <v>5.5475172184782451E-3</v>
      </c>
      <c r="BF6" s="42">
        <f>1/(1+'Model Inputs'!$B$6)^(BF5-'Model Inputs'!$B$7)</f>
        <v>5.0431974713438599E-3</v>
      </c>
      <c r="BG6" s="42">
        <f>1/(1+'Model Inputs'!$B$6)^(BG5-'Model Inputs'!$B$7)</f>
        <v>4.5847249739489641E-3</v>
      </c>
      <c r="BH6" s="42">
        <f>1/(1+'Model Inputs'!$B$6)^(BH5-'Model Inputs'!$B$7)</f>
        <v>4.1679317944990591E-3</v>
      </c>
      <c r="BI6" s="42">
        <f>1/(1+'Model Inputs'!$B$6)^(BI5-'Model Inputs'!$B$7)</f>
        <v>3.7890289040900535E-3</v>
      </c>
      <c r="BJ6" s="42">
        <f>1/(1+'Model Inputs'!$B$6)^(BJ5-'Model Inputs'!$B$7)</f>
        <v>3.4445717309909553E-3</v>
      </c>
      <c r="BK6" s="42">
        <f>1/(1+'Model Inputs'!$B$6)^(BK5-'Model Inputs'!$B$7)</f>
        <v>3.1314288463554136E-3</v>
      </c>
      <c r="BL6" s="42">
        <f>1/(1+'Model Inputs'!$B$6)^(BL5-'Model Inputs'!$B$7)</f>
        <v>2.8467534966867404E-3</v>
      </c>
      <c r="BM6" s="42">
        <f>1/(1+'Model Inputs'!$B$6)^(BM5-'Model Inputs'!$B$7)</f>
        <v>2.5879577242606732E-3</v>
      </c>
      <c r="BN6" s="42">
        <f>1/(1+'Model Inputs'!$B$6)^(BN5-'Model Inputs'!$B$7)</f>
        <v>2.3526888402369758E-3</v>
      </c>
      <c r="BO6" s="42">
        <f>1/(1+'Model Inputs'!$B$6)^(BO5-'Model Inputs'!$B$7)</f>
        <v>2.1388080365790673E-3</v>
      </c>
    </row>
    <row r="8" spans="1:67" ht="15" customHeight="1" x14ac:dyDescent="0.2">
      <c r="A8" s="29" t="s">
        <v>180</v>
      </c>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row>
    <row r="9" spans="1:67" ht="15" customHeight="1" x14ac:dyDescent="0.2">
      <c r="A9" s="14" t="s">
        <v>181</v>
      </c>
      <c r="B9" s="22"/>
      <c r="C9" s="38">
        <f>'Model Inputs'!B41</f>
        <v>72.33</v>
      </c>
      <c r="D9" s="38">
        <f>'Model Inputs'!C41*'Sensitivities 1P'!$B$5</f>
        <v>73.17</v>
      </c>
      <c r="E9" s="38">
        <f>'Model Inputs'!D41*'Sensitivities 1P'!$B$5</f>
        <v>74.010000000000005</v>
      </c>
      <c r="F9" s="38">
        <f>'Model Inputs'!E41*'Sensitivities 1P'!$B$5</f>
        <v>73.31</v>
      </c>
      <c r="G9" s="38">
        <f>'Model Inputs'!F41*'Sensitivities 1P'!$B$5</f>
        <v>74.78</v>
      </c>
      <c r="H9" s="38">
        <f>G9*(1+'Model Inputs'!$B$10)</f>
        <v>76.275599999999997</v>
      </c>
      <c r="I9" s="38">
        <f>H9*(1+'Model Inputs'!$B$10)</f>
        <v>77.801112000000003</v>
      </c>
      <c r="J9" s="38">
        <f>I9*(1+'Model Inputs'!$B$10)</f>
        <v>79.357134240000008</v>
      </c>
      <c r="K9" s="38">
        <f>J9*(1+'Model Inputs'!$B$10)</f>
        <v>80.944276924800008</v>
      </c>
      <c r="L9" s="38">
        <f>K9*(1+'Model Inputs'!$B$10)</f>
        <v>82.56316246329601</v>
      </c>
      <c r="M9" s="38">
        <f>L9*(1+'Model Inputs'!$B$10)</f>
        <v>84.214425712561933</v>
      </c>
      <c r="N9" s="38">
        <f>M9*(1+'Model Inputs'!$B$10)</f>
        <v>85.898714226813169</v>
      </c>
      <c r="O9" s="38">
        <f>N9*(1+'Model Inputs'!$B$10)</f>
        <v>87.616688511349437</v>
      </c>
      <c r="P9" s="38">
        <f>O9*(1+'Model Inputs'!$B$10)</f>
        <v>89.369022281576434</v>
      </c>
      <c r="Q9" s="38">
        <f>P9*(1+'Model Inputs'!$B$10)</f>
        <v>91.156402727207961</v>
      </c>
      <c r="R9" s="38">
        <f>Q9*(1+'Model Inputs'!$B$10)</f>
        <v>92.979530781752118</v>
      </c>
      <c r="S9" s="38">
        <f>R9*(1+'Model Inputs'!$B$10)</f>
        <v>94.83912139738716</v>
      </c>
      <c r="T9" s="38">
        <f>S9*(1+'Model Inputs'!$B$10)</f>
        <v>96.735903825334901</v>
      </c>
      <c r="U9" s="38">
        <f>T9*(1+'Model Inputs'!$B$10)</f>
        <v>98.670621901841599</v>
      </c>
      <c r="V9" s="38">
        <f>U9*(1+'Model Inputs'!$B$10)</f>
        <v>100.64403433987843</v>
      </c>
      <c r="W9" s="38">
        <f>V9*(1+'Model Inputs'!$B$10)</f>
        <v>102.656915026676</v>
      </c>
      <c r="X9" s="38">
        <f>W9*(1+'Model Inputs'!$B$10)</f>
        <v>104.71005332720952</v>
      </c>
      <c r="Y9" s="38">
        <f>X9*(1+'Model Inputs'!$B$10)</f>
        <v>106.80425439375371</v>
      </c>
      <c r="Z9" s="38">
        <f>Y9*(1+'Model Inputs'!$B$10)</f>
        <v>108.94033948162878</v>
      </c>
      <c r="AA9" s="38">
        <f>Z9*(1+'Model Inputs'!$B$10)</f>
        <v>111.11914627126136</v>
      </c>
      <c r="AB9" s="38">
        <f>AA9*(1+'Model Inputs'!$B$10)</f>
        <v>113.34152919668658</v>
      </c>
      <c r="AC9" s="38">
        <f>AB9*(1+'Model Inputs'!$B$10)</f>
        <v>115.60835978062032</v>
      </c>
      <c r="AD9" s="38">
        <f>AC9*(1+'Model Inputs'!$B$10)</f>
        <v>117.92052697623272</v>
      </c>
      <c r="AE9" s="38">
        <f>AD9*(1+'Model Inputs'!$B$10)</f>
        <v>120.27893751575738</v>
      </c>
      <c r="AF9" s="38">
        <f>AE9*(1+'Model Inputs'!$B$10)</f>
        <v>122.68451626607252</v>
      </c>
      <c r="AG9" s="38">
        <f>AF9*(1+'Model Inputs'!$B$10)</f>
        <v>125.13820659139397</v>
      </c>
      <c r="AH9" s="38">
        <f>AG9*(1+'Model Inputs'!$B$10)</f>
        <v>127.64097072322186</v>
      </c>
      <c r="AI9" s="38">
        <f>AH9*(1+'Model Inputs'!$B$10)</f>
        <v>130.19379013768631</v>
      </c>
      <c r="AJ9" s="38">
        <f>AI9*(1+'Model Inputs'!$B$10)</f>
        <v>132.79766594044003</v>
      </c>
      <c r="AK9" s="38">
        <f>AJ9*(1+'Model Inputs'!$B$10)</f>
        <v>135.45361925924882</v>
      </c>
      <c r="AL9" s="38">
        <f>AK9*(1+'Model Inputs'!$B$10)</f>
        <v>138.16269164443381</v>
      </c>
      <c r="AM9" s="38">
        <f>AL9*(1+'Model Inputs'!$B$10)</f>
        <v>140.92594547732247</v>
      </c>
      <c r="AN9" s="38">
        <f>AM9*(1+'Model Inputs'!$B$10)</f>
        <v>143.74446438686891</v>
      </c>
      <c r="AO9" s="38">
        <f>AN9*(1+'Model Inputs'!$B$10)</f>
        <v>146.61935367460629</v>
      </c>
      <c r="AP9" s="38">
        <f>AO9*(1+'Model Inputs'!$B$10)</f>
        <v>149.55174074809841</v>
      </c>
      <c r="AQ9" s="38">
        <f>AP9*(1+'Model Inputs'!$B$10)</f>
        <v>152.54277556306039</v>
      </c>
      <c r="AR9" s="38">
        <f>AQ9*(1+'Model Inputs'!$B$10)</f>
        <v>155.59363107432159</v>
      </c>
      <c r="AS9" s="38">
        <f>AR9*(1+'Model Inputs'!$B$10)</f>
        <v>158.70550369580803</v>
      </c>
      <c r="AT9" s="38">
        <f>AS9*(1+'Model Inputs'!$B$10)</f>
        <v>161.87961376972419</v>
      </c>
      <c r="AU9" s="38">
        <f>AT9*(1+'Model Inputs'!$B$10)</f>
        <v>165.11720604511868</v>
      </c>
      <c r="AV9" s="38">
        <f>AU9*(1+'Model Inputs'!$B$10)</f>
        <v>168.41955016602105</v>
      </c>
      <c r="AW9" s="38">
        <f>AV9*(1+'Model Inputs'!$B$10)</f>
        <v>171.78794116934148</v>
      </c>
      <c r="AX9" s="38">
        <f>AW9*(1+'Model Inputs'!$B$10)</f>
        <v>175.22369999272831</v>
      </c>
      <c r="AY9" s="38">
        <f>AX9*(1+'Model Inputs'!$B$10)</f>
        <v>178.7281739925829</v>
      </c>
      <c r="AZ9" s="38">
        <f>AY9*(1+'Model Inputs'!$B$10)</f>
        <v>182.30273747243456</v>
      </c>
      <c r="BA9" s="38">
        <f>AZ9*(1+'Model Inputs'!$B$10)</f>
        <v>185.94879222188325</v>
      </c>
      <c r="BB9" s="38">
        <f>BA9*(1+'Model Inputs'!$B$10)</f>
        <v>189.66776806632092</v>
      </c>
      <c r="BC9" s="38">
        <f>BB9*(1+'Model Inputs'!$B$10)</f>
        <v>193.46112342764735</v>
      </c>
      <c r="BD9" s="38">
        <f>BC9*(1+'Model Inputs'!$B$10)</f>
        <v>197.3303458962003</v>
      </c>
      <c r="BE9" s="38">
        <f>BD9*(1+'Model Inputs'!$B$10)</f>
        <v>201.27695281412431</v>
      </c>
      <c r="BF9" s="38">
        <f>BE9*(1+'Model Inputs'!$B$10)</f>
        <v>205.30249187040681</v>
      </c>
      <c r="BG9" s="38">
        <f>BF9*(1+'Model Inputs'!$B$10)</f>
        <v>209.40854170781495</v>
      </c>
      <c r="BH9" s="38">
        <f>BG9*(1+'Model Inputs'!$B$10)</f>
        <v>213.59671254197124</v>
      </c>
      <c r="BI9" s="38">
        <f>BH9*(1+'Model Inputs'!$B$10)</f>
        <v>217.86864679281067</v>
      </c>
      <c r="BJ9" s="38">
        <f>BI9*(1+'Model Inputs'!$B$10)</f>
        <v>222.22601972866687</v>
      </c>
      <c r="BK9" s="38">
        <f>BJ9*(1+'Model Inputs'!$B$10)</f>
        <v>226.67054012324022</v>
      </c>
      <c r="BL9" s="38">
        <f>BK9*(1+'Model Inputs'!$B$10)</f>
        <v>231.20395092570502</v>
      </c>
      <c r="BM9" s="38">
        <f>BL9*(1+'Model Inputs'!$B$10)</f>
        <v>235.82802994421911</v>
      </c>
      <c r="BN9" s="38">
        <f>BM9*(1+'Model Inputs'!$B$10)</f>
        <v>240.54459054310351</v>
      </c>
      <c r="BO9" s="38">
        <f>BN9*(1+'Model Inputs'!$B$10)</f>
        <v>245.35548235396558</v>
      </c>
    </row>
    <row r="10" spans="1:67" ht="15" customHeight="1" x14ac:dyDescent="0.2">
      <c r="A10" s="14" t="s">
        <v>182</v>
      </c>
      <c r="B10" s="59"/>
      <c r="C10" s="42">
        <f>'Model Inputs'!B42</f>
        <v>0.7167</v>
      </c>
      <c r="D10" s="42">
        <f>'Model Inputs'!C42</f>
        <v>0.73</v>
      </c>
      <c r="E10" s="42">
        <f>1/'Sensitivities 1P'!$B$12</f>
        <v>0.73999999997336008</v>
      </c>
      <c r="F10" s="42">
        <f>1/'Sensitivities 1P'!$B$12</f>
        <v>0.73999999997336008</v>
      </c>
      <c r="G10" s="42">
        <f>1/'Sensitivities 1P'!$B$12</f>
        <v>0.73999999997336008</v>
      </c>
      <c r="H10" s="60">
        <f t="shared" ref="H10:AM10" si="0">G10</f>
        <v>0.73999999997336008</v>
      </c>
      <c r="I10" s="60">
        <f t="shared" si="0"/>
        <v>0.73999999997336008</v>
      </c>
      <c r="J10" s="60">
        <f t="shared" si="0"/>
        <v>0.73999999997336008</v>
      </c>
      <c r="K10" s="60">
        <f t="shared" si="0"/>
        <v>0.73999999997336008</v>
      </c>
      <c r="L10" s="60">
        <f t="shared" si="0"/>
        <v>0.73999999997336008</v>
      </c>
      <c r="M10" s="60">
        <f t="shared" si="0"/>
        <v>0.73999999997336008</v>
      </c>
      <c r="N10" s="60">
        <f t="shared" si="0"/>
        <v>0.73999999997336008</v>
      </c>
      <c r="O10" s="60">
        <f t="shared" si="0"/>
        <v>0.73999999997336008</v>
      </c>
      <c r="P10" s="60">
        <f t="shared" si="0"/>
        <v>0.73999999997336008</v>
      </c>
      <c r="Q10" s="60">
        <f t="shared" si="0"/>
        <v>0.73999999997336008</v>
      </c>
      <c r="R10" s="60">
        <f t="shared" si="0"/>
        <v>0.73999999997336008</v>
      </c>
      <c r="S10" s="60">
        <f t="shared" si="0"/>
        <v>0.73999999997336008</v>
      </c>
      <c r="T10" s="60">
        <f t="shared" si="0"/>
        <v>0.73999999997336008</v>
      </c>
      <c r="U10" s="60">
        <f t="shared" si="0"/>
        <v>0.73999999997336008</v>
      </c>
      <c r="V10" s="60">
        <f t="shared" si="0"/>
        <v>0.73999999997336008</v>
      </c>
      <c r="W10" s="60">
        <f t="shared" si="0"/>
        <v>0.73999999997336008</v>
      </c>
      <c r="X10" s="60">
        <f t="shared" si="0"/>
        <v>0.73999999997336008</v>
      </c>
      <c r="Y10" s="60">
        <f t="shared" si="0"/>
        <v>0.73999999997336008</v>
      </c>
      <c r="Z10" s="60">
        <f t="shared" si="0"/>
        <v>0.73999999997336008</v>
      </c>
      <c r="AA10" s="60">
        <f t="shared" si="0"/>
        <v>0.73999999997336008</v>
      </c>
      <c r="AB10" s="60">
        <f t="shared" si="0"/>
        <v>0.73999999997336008</v>
      </c>
      <c r="AC10" s="60">
        <f t="shared" si="0"/>
        <v>0.73999999997336008</v>
      </c>
      <c r="AD10" s="60">
        <f t="shared" si="0"/>
        <v>0.73999999997336008</v>
      </c>
      <c r="AE10" s="60">
        <f t="shared" si="0"/>
        <v>0.73999999997336008</v>
      </c>
      <c r="AF10" s="60">
        <f t="shared" si="0"/>
        <v>0.73999999997336008</v>
      </c>
      <c r="AG10" s="60">
        <f t="shared" si="0"/>
        <v>0.73999999997336008</v>
      </c>
      <c r="AH10" s="60">
        <f t="shared" si="0"/>
        <v>0.73999999997336008</v>
      </c>
      <c r="AI10" s="60">
        <f t="shared" si="0"/>
        <v>0.73999999997336008</v>
      </c>
      <c r="AJ10" s="60">
        <f t="shared" si="0"/>
        <v>0.73999999997336008</v>
      </c>
      <c r="AK10" s="60">
        <f t="shared" si="0"/>
        <v>0.73999999997336008</v>
      </c>
      <c r="AL10" s="60">
        <f t="shared" si="0"/>
        <v>0.73999999997336008</v>
      </c>
      <c r="AM10" s="60">
        <f t="shared" si="0"/>
        <v>0.73999999997336008</v>
      </c>
      <c r="AN10" s="60">
        <f t="shared" ref="AN10:BO10" si="1">AM10</f>
        <v>0.73999999997336008</v>
      </c>
      <c r="AO10" s="60">
        <f t="shared" si="1"/>
        <v>0.73999999997336008</v>
      </c>
      <c r="AP10" s="60">
        <f t="shared" si="1"/>
        <v>0.73999999997336008</v>
      </c>
      <c r="AQ10" s="60">
        <f t="shared" si="1"/>
        <v>0.73999999997336008</v>
      </c>
      <c r="AR10" s="60">
        <f t="shared" si="1"/>
        <v>0.73999999997336008</v>
      </c>
      <c r="AS10" s="60">
        <f t="shared" si="1"/>
        <v>0.73999999997336008</v>
      </c>
      <c r="AT10" s="60">
        <f t="shared" si="1"/>
        <v>0.73999999997336008</v>
      </c>
      <c r="AU10" s="60">
        <f t="shared" si="1"/>
        <v>0.73999999997336008</v>
      </c>
      <c r="AV10" s="60">
        <f t="shared" si="1"/>
        <v>0.73999999997336008</v>
      </c>
      <c r="AW10" s="60">
        <f t="shared" si="1"/>
        <v>0.73999999997336008</v>
      </c>
      <c r="AX10" s="60">
        <f t="shared" si="1"/>
        <v>0.73999999997336008</v>
      </c>
      <c r="AY10" s="60">
        <f t="shared" si="1"/>
        <v>0.73999999997336008</v>
      </c>
      <c r="AZ10" s="60">
        <f t="shared" si="1"/>
        <v>0.73999999997336008</v>
      </c>
      <c r="BA10" s="60">
        <f t="shared" si="1"/>
        <v>0.73999999997336008</v>
      </c>
      <c r="BB10" s="60">
        <f t="shared" si="1"/>
        <v>0.73999999997336008</v>
      </c>
      <c r="BC10" s="60">
        <f t="shared" si="1"/>
        <v>0.73999999997336008</v>
      </c>
      <c r="BD10" s="60">
        <f t="shared" si="1"/>
        <v>0.73999999997336008</v>
      </c>
      <c r="BE10" s="60">
        <f t="shared" si="1"/>
        <v>0.73999999997336008</v>
      </c>
      <c r="BF10" s="60">
        <f t="shared" si="1"/>
        <v>0.73999999997336008</v>
      </c>
      <c r="BG10" s="60">
        <f t="shared" si="1"/>
        <v>0.73999999997336008</v>
      </c>
      <c r="BH10" s="60">
        <f t="shared" si="1"/>
        <v>0.73999999997336008</v>
      </c>
      <c r="BI10" s="60">
        <f t="shared" si="1"/>
        <v>0.73999999997336008</v>
      </c>
      <c r="BJ10" s="60">
        <f t="shared" si="1"/>
        <v>0.73999999997336008</v>
      </c>
      <c r="BK10" s="60">
        <f t="shared" si="1"/>
        <v>0.73999999997336008</v>
      </c>
      <c r="BL10" s="60">
        <f t="shared" si="1"/>
        <v>0.73999999997336008</v>
      </c>
      <c r="BM10" s="60">
        <f t="shared" si="1"/>
        <v>0.73999999997336008</v>
      </c>
      <c r="BN10" s="60">
        <f t="shared" si="1"/>
        <v>0.73999999997336008</v>
      </c>
      <c r="BO10" s="60">
        <f t="shared" si="1"/>
        <v>0.73999999997336008</v>
      </c>
    </row>
    <row r="11" spans="1:67" ht="15" customHeight="1" x14ac:dyDescent="0.2">
      <c r="A11" s="14" t="s">
        <v>183</v>
      </c>
      <c r="B11" s="22"/>
      <c r="C11" s="38">
        <f>'Model Inputs'!B43+'Sensitivities 1P'!$B$6/C10</f>
        <v>82.05</v>
      </c>
      <c r="D11" s="38">
        <f>'Model Inputs'!C43*'Sensitivities 1P'!$B$5+'Sensitivities 1P'!$B$6/D10</f>
        <v>81.489999999999995</v>
      </c>
      <c r="E11" s="38">
        <f>'Model Inputs'!D43*'Sensitivities 1P'!$B$5*('Sensitivities 1P'!$B$12*'Model Inputs'!D42)+'Sensitivities 1P'!$B$6/E10</f>
        <v>81.345617570496003</v>
      </c>
      <c r="F11" s="38">
        <f>'Model Inputs'!E43*'Sensitivities 1P'!$B$5*('Sensitivities 1P'!$B$12*'Model Inputs'!E42)+'Sensitivities 1P'!$B$6/F10</f>
        <v>80.459586489383028</v>
      </c>
      <c r="G11" s="38">
        <f>'Model Inputs'!F43*'Sensitivities 1P'!$B$5*('Sensitivities 1P'!$B$12*'Model Inputs'!F42)+'Sensitivities 1P'!$B$6/G10</f>
        <v>82.072362165116758</v>
      </c>
      <c r="H11" s="38">
        <f>G11*(1+'Model Inputs'!$B$10)</f>
        <v>83.713809408419095</v>
      </c>
      <c r="I11" s="38">
        <f>H11*(1+'Model Inputs'!$B$10)</f>
        <v>85.388085596587473</v>
      </c>
      <c r="J11" s="38">
        <f>I11*(1+'Model Inputs'!$B$10)</f>
        <v>87.095847308519225</v>
      </c>
      <c r="K11" s="38">
        <f>J11*(1+'Model Inputs'!$B$10)</f>
        <v>88.837764254689617</v>
      </c>
      <c r="L11" s="38">
        <f>K11*(1+'Model Inputs'!$B$10)</f>
        <v>90.614519539783416</v>
      </c>
      <c r="M11" s="38">
        <f>L11*(1+'Model Inputs'!$B$10)</f>
        <v>92.426809930579083</v>
      </c>
      <c r="N11" s="38">
        <f>M11*(1+'Model Inputs'!$B$10)</f>
        <v>94.275346129190666</v>
      </c>
      <c r="O11" s="38">
        <f>N11*(1+'Model Inputs'!$B$10)</f>
        <v>96.160853051774481</v>
      </c>
      <c r="P11" s="38">
        <f>O11*(1+'Model Inputs'!$B$10)</f>
        <v>98.084070112809968</v>
      </c>
      <c r="Q11" s="38">
        <f>P11*(1+'Model Inputs'!$B$10)</f>
        <v>100.04575151506617</v>
      </c>
      <c r="R11" s="38">
        <f>Q11*(1+'Model Inputs'!$B$10)</f>
        <v>102.0466665453675</v>
      </c>
      <c r="S11" s="38">
        <f>R11*(1+'Model Inputs'!$B$10)</f>
        <v>104.08759987627485</v>
      </c>
      <c r="T11" s="38">
        <f>S11*(1+'Model Inputs'!$B$10)</f>
        <v>106.16935187380035</v>
      </c>
      <c r="U11" s="38">
        <f>T11*(1+'Model Inputs'!$B$10)</f>
        <v>108.29273891127636</v>
      </c>
      <c r="V11" s="38">
        <f>U11*(1+'Model Inputs'!$B$10)</f>
        <v>110.45859368950188</v>
      </c>
      <c r="W11" s="38">
        <f>V11*(1+'Model Inputs'!$B$10)</f>
        <v>112.66776556329192</v>
      </c>
      <c r="X11" s="38">
        <f>W11*(1+'Model Inputs'!$B$10)</f>
        <v>114.92112087455776</v>
      </c>
      <c r="Y11" s="38">
        <f>X11*(1+'Model Inputs'!$B$10)</f>
        <v>117.21954329204891</v>
      </c>
      <c r="Z11" s="38">
        <f>Y11*(1+'Model Inputs'!$B$10)</f>
        <v>119.56393415788989</v>
      </c>
      <c r="AA11" s="38">
        <f>Z11*(1+'Model Inputs'!$B$10)</f>
        <v>121.95521284104768</v>
      </c>
      <c r="AB11" s="38">
        <f>AA11*(1+'Model Inputs'!$B$10)</f>
        <v>124.39431709786864</v>
      </c>
      <c r="AC11" s="38">
        <f>AB11*(1+'Model Inputs'!$B$10)</f>
        <v>126.88220343982601</v>
      </c>
      <c r="AD11" s="38">
        <f>AC11*(1+'Model Inputs'!$B$10)</f>
        <v>129.41984750862252</v>
      </c>
      <c r="AE11" s="38">
        <f>AD11*(1+'Model Inputs'!$B$10)</f>
        <v>132.00824445879499</v>
      </c>
      <c r="AF11" s="38">
        <f>AE11*(1+'Model Inputs'!$B$10)</f>
        <v>134.6484093479709</v>
      </c>
      <c r="AG11" s="38">
        <f>AF11*(1+'Model Inputs'!$B$10)</f>
        <v>137.34137753493033</v>
      </c>
      <c r="AH11" s="38">
        <f>AG11*(1+'Model Inputs'!$B$10)</f>
        <v>140.08820508562894</v>
      </c>
      <c r="AI11" s="38">
        <f>AH11*(1+'Model Inputs'!$B$10)</f>
        <v>142.88996918734153</v>
      </c>
      <c r="AJ11" s="38">
        <f>AI11*(1+'Model Inputs'!$B$10)</f>
        <v>145.74776857108836</v>
      </c>
      <c r="AK11" s="38">
        <f>AJ11*(1+'Model Inputs'!$B$10)</f>
        <v>148.66272394251013</v>
      </c>
      <c r="AL11" s="38">
        <f>AK11*(1+'Model Inputs'!$B$10)</f>
        <v>151.63597842136033</v>
      </c>
      <c r="AM11" s="38">
        <f>AL11*(1+'Model Inputs'!$B$10)</f>
        <v>154.66869798978755</v>
      </c>
      <c r="AN11" s="38">
        <f>AM11*(1+'Model Inputs'!$B$10)</f>
        <v>157.76207194958329</v>
      </c>
      <c r="AO11" s="38">
        <f>AN11*(1+'Model Inputs'!$B$10)</f>
        <v>160.91731338857497</v>
      </c>
      <c r="AP11" s="38">
        <f>AO11*(1+'Model Inputs'!$B$10)</f>
        <v>164.13565965634646</v>
      </c>
      <c r="AQ11" s="38">
        <f>AP11*(1+'Model Inputs'!$B$10)</f>
        <v>167.4183728494734</v>
      </c>
      <c r="AR11" s="38">
        <f>AQ11*(1+'Model Inputs'!$B$10)</f>
        <v>170.76674030646288</v>
      </c>
      <c r="AS11" s="38">
        <f>AR11*(1+'Model Inputs'!$B$10)</f>
        <v>174.18207511259214</v>
      </c>
      <c r="AT11" s="38">
        <f>AS11*(1+'Model Inputs'!$B$10)</f>
        <v>177.665716614844</v>
      </c>
      <c r="AU11" s="38">
        <f>AT11*(1+'Model Inputs'!$B$10)</f>
        <v>181.21903094714088</v>
      </c>
      <c r="AV11" s="38">
        <f>AU11*(1+'Model Inputs'!$B$10)</f>
        <v>184.84341156608369</v>
      </c>
      <c r="AW11" s="38">
        <f>AV11*(1+'Model Inputs'!$B$10)</f>
        <v>188.54027979740536</v>
      </c>
      <c r="AX11" s="38">
        <f>AW11*(1+'Model Inputs'!$B$10)</f>
        <v>192.31108539335347</v>
      </c>
      <c r="AY11" s="38">
        <f>AX11*(1+'Model Inputs'!$B$10)</f>
        <v>196.15730710122054</v>
      </c>
      <c r="AZ11" s="38">
        <f>AY11*(1+'Model Inputs'!$B$10)</f>
        <v>200.08045324324496</v>
      </c>
      <c r="BA11" s="38">
        <f>AZ11*(1+'Model Inputs'!$B$10)</f>
        <v>204.08206230810987</v>
      </c>
      <c r="BB11" s="38">
        <f>BA11*(1+'Model Inputs'!$B$10)</f>
        <v>208.16370355427208</v>
      </c>
      <c r="BC11" s="38">
        <f>BB11*(1+'Model Inputs'!$B$10)</f>
        <v>212.32697762535753</v>
      </c>
      <c r="BD11" s="38">
        <f>BC11*(1+'Model Inputs'!$B$10)</f>
        <v>216.57351717786469</v>
      </c>
      <c r="BE11" s="38">
        <f>BD11*(1+'Model Inputs'!$B$10)</f>
        <v>220.90498752142199</v>
      </c>
      <c r="BF11" s="38">
        <f>BE11*(1+'Model Inputs'!$B$10)</f>
        <v>225.32308727185043</v>
      </c>
      <c r="BG11" s="38">
        <f>BF11*(1+'Model Inputs'!$B$10)</f>
        <v>229.82954901728743</v>
      </c>
      <c r="BH11" s="38">
        <f>BG11*(1+'Model Inputs'!$B$10)</f>
        <v>234.42613999763319</v>
      </c>
      <c r="BI11" s="38">
        <f>BH11*(1+'Model Inputs'!$B$10)</f>
        <v>239.11466279758585</v>
      </c>
      <c r="BJ11" s="38">
        <f>BI11*(1+'Model Inputs'!$B$10)</f>
        <v>243.89695605353756</v>
      </c>
      <c r="BK11" s="38">
        <f>BJ11*(1+'Model Inputs'!$B$10)</f>
        <v>248.77489517460833</v>
      </c>
      <c r="BL11" s="38">
        <f>BK11*(1+'Model Inputs'!$B$10)</f>
        <v>253.7503930781005</v>
      </c>
      <c r="BM11" s="38">
        <f>BL11*(1+'Model Inputs'!$B$10)</f>
        <v>258.82540093966253</v>
      </c>
      <c r="BN11" s="38">
        <f>BM11*(1+'Model Inputs'!$B$10)</f>
        <v>264.00190895845577</v>
      </c>
      <c r="BO11" s="38">
        <f>BN11*(1+'Model Inputs'!$B$10)</f>
        <v>269.28194713762491</v>
      </c>
    </row>
    <row r="12" spans="1:67" ht="15" customHeight="1" x14ac:dyDescent="0.2">
      <c r="A12" s="14" t="s">
        <v>184</v>
      </c>
      <c r="B12" s="22"/>
      <c r="C12" s="38">
        <f>'Model Inputs'!B44</f>
        <v>96.85</v>
      </c>
      <c r="D12" s="38">
        <f>'Model Inputs'!C44*'Sensitivities 1P'!$B$5</f>
        <v>95</v>
      </c>
      <c r="E12" s="38">
        <f>'Model Inputs'!D44*'Sensitivities 1P'!$B$5*('Sensitivities 1P'!$B$12*'Model Inputs'!D42)</f>
        <v>94.81528108449443</v>
      </c>
      <c r="F12" s="38">
        <f>'Model Inputs'!E44*'Sensitivities 1P'!$B$5*('Sensitivities 1P'!$B$12*'Model Inputs'!E42)</f>
        <v>93.740097300671934</v>
      </c>
      <c r="G12" s="38">
        <f>'Model Inputs'!F44*'Sensitivities 1P'!$B$5*('Sensitivities 1P'!$B$12*'Model Inputs'!F42)</f>
        <v>95.621668922361295</v>
      </c>
      <c r="H12" s="38">
        <f>G12*(1+'Model Inputs'!$B$10)</f>
        <v>97.534102300808527</v>
      </c>
      <c r="I12" s="38">
        <f>H12*(1+'Model Inputs'!$B$10)</f>
        <v>99.484784346824696</v>
      </c>
      <c r="J12" s="38">
        <f>I12*(1+'Model Inputs'!$B$10)</f>
        <v>101.4744800337612</v>
      </c>
      <c r="K12" s="38">
        <f>J12*(1+'Model Inputs'!$B$10)</f>
        <v>103.50396963443642</v>
      </c>
      <c r="L12" s="38">
        <f>K12*(1+'Model Inputs'!$B$10)</f>
        <v>105.57404902712514</v>
      </c>
      <c r="M12" s="38">
        <f>L12*(1+'Model Inputs'!$B$10)</f>
        <v>107.68553000766765</v>
      </c>
      <c r="N12" s="38">
        <f>M12*(1+'Model Inputs'!$B$10)</f>
        <v>109.83924060782101</v>
      </c>
      <c r="O12" s="38">
        <f>N12*(1+'Model Inputs'!$B$10)</f>
        <v>112.03602541997743</v>
      </c>
      <c r="P12" s="38">
        <f>O12*(1+'Model Inputs'!$B$10)</f>
        <v>114.27674592837698</v>
      </c>
      <c r="Q12" s="38">
        <f>P12*(1+'Model Inputs'!$B$10)</f>
        <v>116.56228084694452</v>
      </c>
      <c r="R12" s="38">
        <f>Q12*(1+'Model Inputs'!$B$10)</f>
        <v>118.8935264638834</v>
      </c>
      <c r="S12" s="38">
        <f>R12*(1+'Model Inputs'!$B$10)</f>
        <v>121.27139699316108</v>
      </c>
      <c r="T12" s="38">
        <f>S12*(1+'Model Inputs'!$B$10)</f>
        <v>123.6968249330243</v>
      </c>
      <c r="U12" s="38">
        <f>T12*(1+'Model Inputs'!$B$10)</f>
        <v>126.1707614316848</v>
      </c>
      <c r="V12" s="38">
        <f>U12*(1+'Model Inputs'!$B$10)</f>
        <v>128.6941766603185</v>
      </c>
      <c r="W12" s="38">
        <f>V12*(1+'Model Inputs'!$B$10)</f>
        <v>131.26806019352489</v>
      </c>
      <c r="X12" s="38">
        <f>W12*(1+'Model Inputs'!$B$10)</f>
        <v>133.8934213973954</v>
      </c>
      <c r="Y12" s="38">
        <f>X12*(1+'Model Inputs'!$B$10)</f>
        <v>136.57128982534331</v>
      </c>
      <c r="Z12" s="38">
        <f>Y12*(1+'Model Inputs'!$B$10)</f>
        <v>139.30271562185018</v>
      </c>
      <c r="AA12" s="38">
        <f>Z12*(1+'Model Inputs'!$B$10)</f>
        <v>142.0887699342872</v>
      </c>
      <c r="AB12" s="38">
        <f>AA12*(1+'Model Inputs'!$B$10)</f>
        <v>144.93054533297294</v>
      </c>
      <c r="AC12" s="38">
        <f>AB12*(1+'Model Inputs'!$B$10)</f>
        <v>147.8291562396324</v>
      </c>
      <c r="AD12" s="38">
        <f>AC12*(1+'Model Inputs'!$B$10)</f>
        <v>150.78573936442504</v>
      </c>
      <c r="AE12" s="38">
        <f>AD12*(1+'Model Inputs'!$B$10)</f>
        <v>153.80145415171356</v>
      </c>
      <c r="AF12" s="38">
        <f>AE12*(1+'Model Inputs'!$B$10)</f>
        <v>156.87748323474784</v>
      </c>
      <c r="AG12" s="38">
        <f>AF12*(1+'Model Inputs'!$B$10)</f>
        <v>160.01503289944282</v>
      </c>
      <c r="AH12" s="38">
        <f>AG12*(1+'Model Inputs'!$B$10)</f>
        <v>163.21533355743168</v>
      </c>
      <c r="AI12" s="38">
        <f>AH12*(1+'Model Inputs'!$B$10)</f>
        <v>166.47964022858031</v>
      </c>
      <c r="AJ12" s="38">
        <f>AI12*(1+'Model Inputs'!$B$10)</f>
        <v>169.80923303315191</v>
      </c>
      <c r="AK12" s="38">
        <f>AJ12*(1+'Model Inputs'!$B$10)</f>
        <v>173.20541769381495</v>
      </c>
      <c r="AL12" s="38">
        <f>AK12*(1+'Model Inputs'!$B$10)</f>
        <v>176.66952604769125</v>
      </c>
      <c r="AM12" s="38">
        <f>AL12*(1+'Model Inputs'!$B$10)</f>
        <v>180.20291656864507</v>
      </c>
      <c r="AN12" s="38">
        <f>AM12*(1+'Model Inputs'!$B$10)</f>
        <v>183.80697490001796</v>
      </c>
      <c r="AO12" s="38">
        <f>AN12*(1+'Model Inputs'!$B$10)</f>
        <v>187.48311439801833</v>
      </c>
      <c r="AP12" s="38">
        <f>AO12*(1+'Model Inputs'!$B$10)</f>
        <v>191.23277668597871</v>
      </c>
      <c r="AQ12" s="38">
        <f>AP12*(1+'Model Inputs'!$B$10)</f>
        <v>195.05743221969828</v>
      </c>
      <c r="AR12" s="38">
        <f>AQ12*(1+'Model Inputs'!$B$10)</f>
        <v>198.95858086409226</v>
      </c>
      <c r="AS12" s="38">
        <f>AR12*(1+'Model Inputs'!$B$10)</f>
        <v>202.9377524813741</v>
      </c>
      <c r="AT12" s="38">
        <f>AS12*(1+'Model Inputs'!$B$10)</f>
        <v>206.99650753100158</v>
      </c>
      <c r="AU12" s="38">
        <f>AT12*(1+'Model Inputs'!$B$10)</f>
        <v>211.13643768162163</v>
      </c>
      <c r="AV12" s="38">
        <f>AU12*(1+'Model Inputs'!$B$10)</f>
        <v>215.35916643525405</v>
      </c>
      <c r="AW12" s="38">
        <f>AV12*(1+'Model Inputs'!$B$10)</f>
        <v>219.66634976395915</v>
      </c>
      <c r="AX12" s="38">
        <f>AW12*(1+'Model Inputs'!$B$10)</f>
        <v>224.05967675923833</v>
      </c>
      <c r="AY12" s="38">
        <f>AX12*(1+'Model Inputs'!$B$10)</f>
        <v>228.54087029442309</v>
      </c>
      <c r="AZ12" s="38">
        <f>AY12*(1+'Model Inputs'!$B$10)</f>
        <v>233.11168770031156</v>
      </c>
      <c r="BA12" s="38">
        <f>AZ12*(1+'Model Inputs'!$B$10)</f>
        <v>237.77392145431779</v>
      </c>
      <c r="BB12" s="38">
        <f>BA12*(1+'Model Inputs'!$B$10)</f>
        <v>242.52939988340415</v>
      </c>
      <c r="BC12" s="38">
        <f>BB12*(1+'Model Inputs'!$B$10)</f>
        <v>247.37998788107225</v>
      </c>
      <c r="BD12" s="38">
        <f>BC12*(1+'Model Inputs'!$B$10)</f>
        <v>252.3275876386937</v>
      </c>
      <c r="BE12" s="38">
        <f>BD12*(1+'Model Inputs'!$B$10)</f>
        <v>257.37413939146757</v>
      </c>
      <c r="BF12" s="38">
        <f>BE12*(1+'Model Inputs'!$B$10)</f>
        <v>262.52162217929691</v>
      </c>
      <c r="BG12" s="38">
        <f>BF12*(1+'Model Inputs'!$B$10)</f>
        <v>267.77205462288288</v>
      </c>
      <c r="BH12" s="38">
        <f>BG12*(1+'Model Inputs'!$B$10)</f>
        <v>273.12749571534056</v>
      </c>
      <c r="BI12" s="38">
        <f>BH12*(1+'Model Inputs'!$B$10)</f>
        <v>278.59004562964736</v>
      </c>
      <c r="BJ12" s="38">
        <f>BI12*(1+'Model Inputs'!$B$10)</f>
        <v>284.16184654224031</v>
      </c>
      <c r="BK12" s="38">
        <f>BJ12*(1+'Model Inputs'!$B$10)</f>
        <v>289.84508347308514</v>
      </c>
      <c r="BL12" s="38">
        <f>BK12*(1+'Model Inputs'!$B$10)</f>
        <v>295.64198514254684</v>
      </c>
      <c r="BM12" s="38">
        <f>BL12*(1+'Model Inputs'!$B$10)</f>
        <v>301.55482484539777</v>
      </c>
      <c r="BN12" s="38">
        <f>BM12*(1+'Model Inputs'!$B$10)</f>
        <v>307.58592134230571</v>
      </c>
      <c r="BO12" s="38">
        <f>BN12*(1+'Model Inputs'!$B$10)</f>
        <v>313.73763976915183</v>
      </c>
    </row>
    <row r="13" spans="1:67" ht="15" customHeight="1" x14ac:dyDescent="0.2">
      <c r="A13" s="14" t="s">
        <v>185</v>
      </c>
      <c r="B13" s="22"/>
      <c r="C13" s="38">
        <f>'Model Inputs'!B45</f>
        <v>95.07</v>
      </c>
      <c r="D13" s="38">
        <f>'Model Inputs'!C45*'Sensitivities 1P'!$B$5</f>
        <v>94.47</v>
      </c>
      <c r="E13" s="38">
        <f>'Model Inputs'!D45*'Sensitivities 1P'!$B$5*('Sensitivities 1P'!$B$12*'Model Inputs'!D42)</f>
        <v>94.297600003394706</v>
      </c>
      <c r="F13" s="38">
        <f>'Model Inputs'!E45*'Sensitivities 1P'!$B$5*('Sensitivities 1P'!$B$12*'Model Inputs'!E42)</f>
        <v>93.25228243578951</v>
      </c>
      <c r="G13" s="38">
        <f>'Model Inputs'!F45*'Sensitivities 1P'!$B$5*('Sensitivities 1P'!$B$12*'Model Inputs'!F42)</f>
        <v>95.183631084507695</v>
      </c>
      <c r="H13" s="38">
        <f>G13*(1+'Model Inputs'!$B$10)</f>
        <v>97.087303706197844</v>
      </c>
      <c r="I13" s="38">
        <f>H13*(1+'Model Inputs'!$B$10)</f>
        <v>99.029049780321799</v>
      </c>
      <c r="J13" s="38">
        <f>I13*(1+'Model Inputs'!$B$10)</f>
        <v>101.00963077592823</v>
      </c>
      <c r="K13" s="38">
        <f>J13*(1+'Model Inputs'!$B$10)</f>
        <v>103.0298233914468</v>
      </c>
      <c r="L13" s="38">
        <f>K13*(1+'Model Inputs'!$B$10)</f>
        <v>105.09041985927574</v>
      </c>
      <c r="M13" s="38">
        <f>L13*(1+'Model Inputs'!$B$10)</f>
        <v>107.19222825646126</v>
      </c>
      <c r="N13" s="38">
        <f>M13*(1+'Model Inputs'!$B$10)</f>
        <v>109.33607282159049</v>
      </c>
      <c r="O13" s="38">
        <f>N13*(1+'Model Inputs'!$B$10)</f>
        <v>111.5227942780223</v>
      </c>
      <c r="P13" s="38">
        <f>O13*(1+'Model Inputs'!$B$10)</f>
        <v>113.75325016358275</v>
      </c>
      <c r="Q13" s="38">
        <f>P13*(1+'Model Inputs'!$B$10)</f>
        <v>116.02831516685441</v>
      </c>
      <c r="R13" s="38">
        <f>Q13*(1+'Model Inputs'!$B$10)</f>
        <v>118.3488814701915</v>
      </c>
      <c r="S13" s="38">
        <f>R13*(1+'Model Inputs'!$B$10)</f>
        <v>120.71585909959533</v>
      </c>
      <c r="T13" s="38">
        <f>S13*(1+'Model Inputs'!$B$10)</f>
        <v>123.13017628158724</v>
      </c>
      <c r="U13" s="38">
        <f>T13*(1+'Model Inputs'!$B$10)</f>
        <v>125.59277980721899</v>
      </c>
      <c r="V13" s="38">
        <f>U13*(1+'Model Inputs'!$B$10)</f>
        <v>128.10463540336337</v>
      </c>
      <c r="W13" s="38">
        <f>V13*(1+'Model Inputs'!$B$10)</f>
        <v>130.66672811143064</v>
      </c>
      <c r="X13" s="38">
        <f>W13*(1+'Model Inputs'!$B$10)</f>
        <v>133.28006267365924</v>
      </c>
      <c r="Y13" s="38">
        <f>X13*(1+'Model Inputs'!$B$10)</f>
        <v>135.94566392713244</v>
      </c>
      <c r="Z13" s="38">
        <f>Y13*(1+'Model Inputs'!$B$10)</f>
        <v>138.6645772056751</v>
      </c>
      <c r="AA13" s="38">
        <f>Z13*(1+'Model Inputs'!$B$10)</f>
        <v>141.43786874978861</v>
      </c>
      <c r="AB13" s="38">
        <f>AA13*(1+'Model Inputs'!$B$10)</f>
        <v>144.26662612478438</v>
      </c>
      <c r="AC13" s="38">
        <f>AB13*(1+'Model Inputs'!$B$10)</f>
        <v>147.15195864728008</v>
      </c>
      <c r="AD13" s="38">
        <f>AC13*(1+'Model Inputs'!$B$10)</f>
        <v>150.0949978202257</v>
      </c>
      <c r="AE13" s="38">
        <f>AD13*(1+'Model Inputs'!$B$10)</f>
        <v>153.09689777663021</v>
      </c>
      <c r="AF13" s="38">
        <f>AE13*(1+'Model Inputs'!$B$10)</f>
        <v>156.15883573216283</v>
      </c>
      <c r="AG13" s="38">
        <f>AF13*(1+'Model Inputs'!$B$10)</f>
        <v>159.28201244680608</v>
      </c>
      <c r="AH13" s="38">
        <f>AG13*(1+'Model Inputs'!$B$10)</f>
        <v>162.4676526957422</v>
      </c>
      <c r="AI13" s="38">
        <f>AH13*(1+'Model Inputs'!$B$10)</f>
        <v>165.71700574965706</v>
      </c>
      <c r="AJ13" s="38">
        <f>AI13*(1+'Model Inputs'!$B$10)</f>
        <v>169.03134586465021</v>
      </c>
      <c r="AK13" s="38">
        <f>AJ13*(1+'Model Inputs'!$B$10)</f>
        <v>172.41197278194321</v>
      </c>
      <c r="AL13" s="38">
        <f>AK13*(1+'Model Inputs'!$B$10)</f>
        <v>175.86021223758206</v>
      </c>
      <c r="AM13" s="38">
        <f>AL13*(1+'Model Inputs'!$B$10)</f>
        <v>179.3774164823337</v>
      </c>
      <c r="AN13" s="38">
        <f>AM13*(1+'Model Inputs'!$B$10)</f>
        <v>182.96496481198037</v>
      </c>
      <c r="AO13" s="38">
        <f>AN13*(1+'Model Inputs'!$B$10)</f>
        <v>186.62426410821999</v>
      </c>
      <c r="AP13" s="38">
        <f>AO13*(1+'Model Inputs'!$B$10)</f>
        <v>190.35674939038438</v>
      </c>
      <c r="AQ13" s="38">
        <f>AP13*(1+'Model Inputs'!$B$10)</f>
        <v>194.16388437819208</v>
      </c>
      <c r="AR13" s="38">
        <f>AQ13*(1+'Model Inputs'!$B$10)</f>
        <v>198.04716206575591</v>
      </c>
      <c r="AS13" s="38">
        <f>AR13*(1+'Model Inputs'!$B$10)</f>
        <v>202.00810530707105</v>
      </c>
      <c r="AT13" s="38">
        <f>AS13*(1+'Model Inputs'!$B$10)</f>
        <v>206.04826741321247</v>
      </c>
      <c r="AU13" s="38">
        <f>AT13*(1+'Model Inputs'!$B$10)</f>
        <v>210.16923276147674</v>
      </c>
      <c r="AV13" s="38">
        <f>AU13*(1+'Model Inputs'!$B$10)</f>
        <v>214.37261741670628</v>
      </c>
      <c r="AW13" s="38">
        <f>AV13*(1+'Model Inputs'!$B$10)</f>
        <v>218.66006976504042</v>
      </c>
      <c r="AX13" s="38">
        <f>AW13*(1+'Model Inputs'!$B$10)</f>
        <v>223.03327116034123</v>
      </c>
      <c r="AY13" s="38">
        <f>AX13*(1+'Model Inputs'!$B$10)</f>
        <v>227.49393658354805</v>
      </c>
      <c r="AZ13" s="38">
        <f>AY13*(1+'Model Inputs'!$B$10)</f>
        <v>232.04381531521901</v>
      </c>
      <c r="BA13" s="38">
        <f>AZ13*(1+'Model Inputs'!$B$10)</f>
        <v>236.6846916215234</v>
      </c>
      <c r="BB13" s="38">
        <f>BA13*(1+'Model Inputs'!$B$10)</f>
        <v>241.41838545395387</v>
      </c>
      <c r="BC13" s="38">
        <f>BB13*(1+'Model Inputs'!$B$10)</f>
        <v>246.24675316303296</v>
      </c>
      <c r="BD13" s="38">
        <f>BC13*(1+'Model Inputs'!$B$10)</f>
        <v>251.17168822629364</v>
      </c>
      <c r="BE13" s="38">
        <f>BD13*(1+'Model Inputs'!$B$10)</f>
        <v>256.19512199081953</v>
      </c>
      <c r="BF13" s="38">
        <f>BE13*(1+'Model Inputs'!$B$10)</f>
        <v>261.31902443063592</v>
      </c>
      <c r="BG13" s="38">
        <f>BF13*(1+'Model Inputs'!$B$10)</f>
        <v>266.54540491924865</v>
      </c>
      <c r="BH13" s="38">
        <f>BG13*(1+'Model Inputs'!$B$10)</f>
        <v>271.87631301763361</v>
      </c>
      <c r="BI13" s="38">
        <f>BH13*(1+'Model Inputs'!$B$10)</f>
        <v>277.31383927798629</v>
      </c>
      <c r="BJ13" s="38">
        <f>BI13*(1+'Model Inputs'!$B$10)</f>
        <v>282.860116063546</v>
      </c>
      <c r="BK13" s="38">
        <f>BJ13*(1+'Model Inputs'!$B$10)</f>
        <v>288.51731838481692</v>
      </c>
      <c r="BL13" s="38">
        <f>BK13*(1+'Model Inputs'!$B$10)</f>
        <v>294.28766475251325</v>
      </c>
      <c r="BM13" s="38">
        <f>BL13*(1+'Model Inputs'!$B$10)</f>
        <v>300.17341804756353</v>
      </c>
      <c r="BN13" s="38">
        <f>BM13*(1+'Model Inputs'!$B$10)</f>
        <v>306.1768864085148</v>
      </c>
      <c r="BO13" s="38">
        <f>BN13*(1+'Model Inputs'!$B$10)</f>
        <v>312.30042413668508</v>
      </c>
    </row>
    <row r="14" spans="1:67" ht="15" customHeight="1" x14ac:dyDescent="0.2">
      <c r="A14" s="14" t="s">
        <v>186</v>
      </c>
      <c r="B14" s="22"/>
      <c r="C14" s="38">
        <f>'Model Inputs'!B46</f>
        <v>2.16</v>
      </c>
      <c r="D14" s="38">
        <f>'Model Inputs'!C46*'Sensitivities 1P'!$B$18</f>
        <v>2.75</v>
      </c>
      <c r="E14" s="38">
        <f>'Model Inputs'!D46*'Sensitivities 1P'!$B$18</f>
        <v>3.12</v>
      </c>
      <c r="F14" s="38">
        <f>'Model Inputs'!E46*'Sensitivities 1P'!$B$18</f>
        <v>3.43</v>
      </c>
      <c r="G14" s="38">
        <f>'Model Inputs'!F46*'Sensitivities 1P'!$B$18</f>
        <v>3.5</v>
      </c>
      <c r="H14" s="38">
        <f>G14*(1+'Model Inputs'!$B$10)</f>
        <v>3.5700000000000003</v>
      </c>
      <c r="I14" s="38">
        <f>H14*(1+'Model Inputs'!$B$10)</f>
        <v>3.6414000000000004</v>
      </c>
      <c r="J14" s="38">
        <f>I14*(1+'Model Inputs'!$B$10)</f>
        <v>3.7142280000000003</v>
      </c>
      <c r="K14" s="38">
        <f>J14*(1+'Model Inputs'!$B$10)</f>
        <v>3.7885125600000005</v>
      </c>
      <c r="L14" s="38">
        <f>K14*(1+'Model Inputs'!$B$10)</f>
        <v>3.8642828112000007</v>
      </c>
      <c r="M14" s="38">
        <f>L14*(1+'Model Inputs'!$B$10)</f>
        <v>3.941568467424001</v>
      </c>
      <c r="N14" s="38">
        <f>M14*(1+'Model Inputs'!$B$10)</f>
        <v>4.0203998367724809</v>
      </c>
      <c r="O14" s="38">
        <f>N14*(1+'Model Inputs'!$B$10)</f>
        <v>4.1008078335079308</v>
      </c>
      <c r="P14" s="38">
        <f>O14*(1+'Model Inputs'!$B$10)</f>
        <v>4.1828239901780897</v>
      </c>
      <c r="Q14" s="38">
        <f>P14*(1+'Model Inputs'!$B$10)</f>
        <v>4.2664804699816514</v>
      </c>
      <c r="R14" s="38">
        <f>Q14*(1+'Model Inputs'!$B$10)</f>
        <v>4.3518100793812842</v>
      </c>
      <c r="S14" s="38">
        <f>R14*(1+'Model Inputs'!$B$10)</f>
        <v>4.4388462809689102</v>
      </c>
      <c r="T14" s="38">
        <f>S14*(1+'Model Inputs'!$B$10)</f>
        <v>4.5276232065882889</v>
      </c>
      <c r="U14" s="38">
        <f>T14*(1+'Model Inputs'!$B$10)</f>
        <v>4.6181756707200545</v>
      </c>
      <c r="V14" s="38">
        <f>U14*(1+'Model Inputs'!$B$10)</f>
        <v>4.7105391841344559</v>
      </c>
      <c r="W14" s="38">
        <f>V14*(1+'Model Inputs'!$B$10)</f>
        <v>4.8047499678171448</v>
      </c>
      <c r="X14" s="38">
        <f>W14*(1+'Model Inputs'!$B$10)</f>
        <v>4.9008449671734882</v>
      </c>
      <c r="Y14" s="38">
        <f>X14*(1+'Model Inputs'!$B$10)</f>
        <v>4.9988618665169584</v>
      </c>
      <c r="Z14" s="38">
        <f>Y14*(1+'Model Inputs'!$B$10)</f>
        <v>5.0988391038472978</v>
      </c>
      <c r="AA14" s="38">
        <f>Z14*(1+'Model Inputs'!$B$10)</f>
        <v>5.2008158859242437</v>
      </c>
      <c r="AB14" s="38">
        <f>AA14*(1+'Model Inputs'!$B$10)</f>
        <v>5.3048322036427287</v>
      </c>
      <c r="AC14" s="38">
        <f>AB14*(1+'Model Inputs'!$B$10)</f>
        <v>5.4109288477155832</v>
      </c>
      <c r="AD14" s="38">
        <f>AC14*(1+'Model Inputs'!$B$10)</f>
        <v>5.5191474246698951</v>
      </c>
      <c r="AE14" s="38">
        <f>AD14*(1+'Model Inputs'!$B$10)</f>
        <v>5.6295303731632931</v>
      </c>
      <c r="AF14" s="38">
        <f>AE14*(1+'Model Inputs'!$B$10)</f>
        <v>5.7421209806265594</v>
      </c>
      <c r="AG14" s="38">
        <f>AF14*(1+'Model Inputs'!$B$10)</f>
        <v>5.8569634002390911</v>
      </c>
      <c r="AH14" s="38">
        <f>AG14*(1+'Model Inputs'!$B$10)</f>
        <v>5.9741026682438729</v>
      </c>
      <c r="AI14" s="38">
        <f>AH14*(1+'Model Inputs'!$B$10)</f>
        <v>6.0935847216087504</v>
      </c>
      <c r="AJ14" s="38">
        <f>AI14*(1+'Model Inputs'!$B$10)</f>
        <v>6.2154564160409258</v>
      </c>
      <c r="AK14" s="38">
        <f>AJ14*(1+'Model Inputs'!$B$10)</f>
        <v>6.339765544361744</v>
      </c>
      <c r="AL14" s="38">
        <f>AK14*(1+'Model Inputs'!$B$10)</f>
        <v>6.4665608552489786</v>
      </c>
      <c r="AM14" s="38">
        <f>AL14*(1+'Model Inputs'!$B$10)</f>
        <v>6.5958920723539585</v>
      </c>
      <c r="AN14" s="38">
        <f>AM14*(1+'Model Inputs'!$B$10)</f>
        <v>6.7278099138010381</v>
      </c>
      <c r="AO14" s="38">
        <f>AN14*(1+'Model Inputs'!$B$10)</f>
        <v>6.8623661120770594</v>
      </c>
      <c r="AP14" s="38">
        <f>AO14*(1+'Model Inputs'!$B$10)</f>
        <v>6.9996134343186007</v>
      </c>
      <c r="AQ14" s="38">
        <f>AP14*(1+'Model Inputs'!$B$10)</f>
        <v>7.1396057030049729</v>
      </c>
      <c r="AR14" s="38">
        <f>AQ14*(1+'Model Inputs'!$B$10)</f>
        <v>7.2823978170650721</v>
      </c>
      <c r="AS14" s="38">
        <f>AR14*(1+'Model Inputs'!$B$10)</f>
        <v>7.4280457734063736</v>
      </c>
      <c r="AT14" s="38">
        <f>AS14*(1+'Model Inputs'!$B$10)</f>
        <v>7.5766066888745014</v>
      </c>
      <c r="AU14" s="38">
        <f>AT14*(1+'Model Inputs'!$B$10)</f>
        <v>7.7281388226519914</v>
      </c>
      <c r="AV14" s="38">
        <f>AU14*(1+'Model Inputs'!$B$10)</f>
        <v>7.8827015991050313</v>
      </c>
      <c r="AW14" s="38">
        <f>AV14*(1+'Model Inputs'!$B$10)</f>
        <v>8.0403556310871327</v>
      </c>
      <c r="AX14" s="38">
        <f>AW14*(1+'Model Inputs'!$B$10)</f>
        <v>8.2011627437088759</v>
      </c>
      <c r="AY14" s="38">
        <f>AX14*(1+'Model Inputs'!$B$10)</f>
        <v>8.365185998583053</v>
      </c>
      <c r="AZ14" s="38">
        <f>AY14*(1+'Model Inputs'!$B$10)</f>
        <v>8.5324897185547144</v>
      </c>
      <c r="BA14" s="38">
        <f>AZ14*(1+'Model Inputs'!$B$10)</f>
        <v>8.7031395129258087</v>
      </c>
      <c r="BB14" s="38">
        <f>BA14*(1+'Model Inputs'!$B$10)</f>
        <v>8.8772023031843244</v>
      </c>
      <c r="BC14" s="38">
        <f>BB14*(1+'Model Inputs'!$B$10)</f>
        <v>9.0547463492480116</v>
      </c>
      <c r="BD14" s="38">
        <f>BC14*(1+'Model Inputs'!$B$10)</f>
        <v>9.2358412762329714</v>
      </c>
      <c r="BE14" s="38">
        <f>BD14*(1+'Model Inputs'!$B$10)</f>
        <v>9.4205581017576314</v>
      </c>
      <c r="BF14" s="38">
        <f>BE14*(1+'Model Inputs'!$B$10)</f>
        <v>9.608969263792785</v>
      </c>
      <c r="BG14" s="38">
        <f>BF14*(1+'Model Inputs'!$B$10)</f>
        <v>9.8011486490686401</v>
      </c>
      <c r="BH14" s="38">
        <f>BG14*(1+'Model Inputs'!$B$10)</f>
        <v>9.9971716220500131</v>
      </c>
      <c r="BI14" s="38">
        <f>BH14*(1+'Model Inputs'!$B$10)</f>
        <v>10.197115054491013</v>
      </c>
      <c r="BJ14" s="38">
        <f>BI14*(1+'Model Inputs'!$B$10)</f>
        <v>10.401057355580834</v>
      </c>
      <c r="BK14" s="38">
        <f>BJ14*(1+'Model Inputs'!$B$10)</f>
        <v>10.609078502692451</v>
      </c>
      <c r="BL14" s="38">
        <f>BK14*(1+'Model Inputs'!$B$10)</f>
        <v>10.8212600727463</v>
      </c>
      <c r="BM14" s="38">
        <f>BL14*(1+'Model Inputs'!$B$10)</f>
        <v>11.037685274201227</v>
      </c>
      <c r="BN14" s="38">
        <f>BM14*(1+'Model Inputs'!$B$10)</f>
        <v>11.258438979685252</v>
      </c>
      <c r="BO14" s="38">
        <f>BN14*(1+'Model Inputs'!$B$10)</f>
        <v>11.483607759278957</v>
      </c>
    </row>
    <row r="16" spans="1:67" ht="15" customHeight="1" x14ac:dyDescent="0.2">
      <c r="A16" s="29" t="s">
        <v>187</v>
      </c>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row>
    <row r="17" spans="1:67" ht="15" customHeight="1" x14ac:dyDescent="0.2">
      <c r="A17" s="14" t="s">
        <v>188</v>
      </c>
      <c r="B17" s="22"/>
      <c r="C17" s="38">
        <f>C12+'Model Inputs'!$F$61</f>
        <v>89.332427400586027</v>
      </c>
      <c r="D17" s="38">
        <f>D12+'Model Inputs'!$F$61</f>
        <v>87.482427400586033</v>
      </c>
      <c r="E17" s="38">
        <f>E12+'Model Inputs'!$F$61</f>
        <v>87.297708485080463</v>
      </c>
      <c r="F17" s="38">
        <f>F12+'Model Inputs'!$F$61</f>
        <v>86.222524701257967</v>
      </c>
      <c r="G17" s="38">
        <f>G12+'Model Inputs'!$F$61</f>
        <v>88.104096322947328</v>
      </c>
      <c r="H17" s="38">
        <f>H12+'Model Inputs'!$F$61</f>
        <v>90.01652970139456</v>
      </c>
      <c r="I17" s="38">
        <f>I12+'Model Inputs'!$F$61</f>
        <v>91.96721174741073</v>
      </c>
      <c r="J17" s="38">
        <f>J12+'Model Inputs'!$F$61</f>
        <v>93.956907434347229</v>
      </c>
      <c r="K17" s="38">
        <f>K12+'Model Inputs'!$F$61</f>
        <v>95.986397035022449</v>
      </c>
      <c r="L17" s="38">
        <f>L12+'Model Inputs'!$F$61</f>
        <v>98.056476427711175</v>
      </c>
      <c r="M17" s="38">
        <f>M12+'Model Inputs'!$F$61</f>
        <v>100.16795740825368</v>
      </c>
      <c r="N17" s="38">
        <f>N12+'Model Inputs'!$F$61</f>
        <v>102.32166800840704</v>
      </c>
      <c r="O17" s="38">
        <f>O12+'Model Inputs'!$F$61</f>
        <v>104.51845282056347</v>
      </c>
      <c r="P17" s="38">
        <f>P12+'Model Inputs'!$F$61</f>
        <v>106.75917332896302</v>
      </c>
      <c r="Q17" s="38">
        <f>Q12+'Model Inputs'!$F$61</f>
        <v>109.04470824753055</v>
      </c>
      <c r="R17" s="38">
        <f>R12+'Model Inputs'!$F$61</f>
        <v>111.37595386446944</v>
      </c>
      <c r="S17" s="38">
        <f>S12+'Model Inputs'!$F$61</f>
        <v>113.75382439374711</v>
      </c>
      <c r="T17" s="38">
        <f>T12+'Model Inputs'!$F$61</f>
        <v>116.17925233361034</v>
      </c>
      <c r="U17" s="38">
        <f>U12+'Model Inputs'!$F$61</f>
        <v>118.65318883227083</v>
      </c>
      <c r="V17" s="38">
        <f>V12+'Model Inputs'!$F$61</f>
        <v>121.17660406090454</v>
      </c>
      <c r="W17" s="38">
        <f>W12+'Model Inputs'!$F$61</f>
        <v>123.75048759411092</v>
      </c>
      <c r="X17" s="38">
        <f>X12+'Model Inputs'!$F$61</f>
        <v>126.37584879798143</v>
      </c>
      <c r="Y17" s="38">
        <f>Y12+'Model Inputs'!$F$61</f>
        <v>129.05371722592935</v>
      </c>
      <c r="Z17" s="38">
        <f>Z12+'Model Inputs'!$F$61</f>
        <v>131.78514302243622</v>
      </c>
      <c r="AA17" s="38">
        <f>AA12+'Model Inputs'!$F$61</f>
        <v>134.57119733487323</v>
      </c>
      <c r="AB17" s="38">
        <f>AB12+'Model Inputs'!$F$61</f>
        <v>137.41297273355897</v>
      </c>
      <c r="AC17" s="38">
        <f>AC12+'Model Inputs'!$F$61</f>
        <v>140.31158364021843</v>
      </c>
      <c r="AD17" s="38">
        <f>AD12+'Model Inputs'!$F$61</f>
        <v>143.26816676501107</v>
      </c>
      <c r="AE17" s="38">
        <f>AE12+'Model Inputs'!$F$61</f>
        <v>146.28388155229959</v>
      </c>
      <c r="AF17" s="38">
        <f>AF12+'Model Inputs'!$F$61</f>
        <v>149.35991063533388</v>
      </c>
      <c r="AG17" s="38">
        <f>AG12+'Model Inputs'!$F$61</f>
        <v>152.49746030002885</v>
      </c>
      <c r="AH17" s="38">
        <f>AH12+'Model Inputs'!$F$61</f>
        <v>155.69776095801771</v>
      </c>
      <c r="AI17" s="38">
        <f>AI12+'Model Inputs'!$F$61</f>
        <v>158.96206762916634</v>
      </c>
      <c r="AJ17" s="38">
        <f>AJ12+'Model Inputs'!$F$61</f>
        <v>162.29166043373795</v>
      </c>
      <c r="AK17" s="38">
        <f>AK12+'Model Inputs'!$F$61</f>
        <v>165.68784509440098</v>
      </c>
      <c r="AL17" s="38">
        <f>AL12+'Model Inputs'!$F$61</f>
        <v>169.15195344827728</v>
      </c>
      <c r="AM17" s="38">
        <f>AM12+'Model Inputs'!$F$61</f>
        <v>172.6853439692311</v>
      </c>
      <c r="AN17" s="38">
        <f>AN12+'Model Inputs'!$F$61</f>
        <v>176.289402300604</v>
      </c>
      <c r="AO17" s="38">
        <f>AO12+'Model Inputs'!$F$61</f>
        <v>179.96554179860436</v>
      </c>
      <c r="AP17" s="38">
        <f>AP12+'Model Inputs'!$F$61</f>
        <v>183.71520408656474</v>
      </c>
      <c r="AQ17" s="38">
        <f>AQ12+'Model Inputs'!$F$61</f>
        <v>187.53985962028432</v>
      </c>
      <c r="AR17" s="38">
        <f>AR12+'Model Inputs'!$F$61</f>
        <v>191.44100826467829</v>
      </c>
      <c r="AS17" s="38">
        <f>AS12+'Model Inputs'!$F$61</f>
        <v>195.42017988196014</v>
      </c>
      <c r="AT17" s="38">
        <f>AT12+'Model Inputs'!$F$61</f>
        <v>199.47893493158762</v>
      </c>
      <c r="AU17" s="38">
        <f>AU12+'Model Inputs'!$F$61</f>
        <v>203.61886508220766</v>
      </c>
      <c r="AV17" s="38">
        <f>AV12+'Model Inputs'!$F$61</f>
        <v>207.84159383584009</v>
      </c>
      <c r="AW17" s="38">
        <f>AW12+'Model Inputs'!$F$61</f>
        <v>212.14877716454518</v>
      </c>
      <c r="AX17" s="38">
        <f>AX12+'Model Inputs'!$F$61</f>
        <v>216.54210415982436</v>
      </c>
      <c r="AY17" s="38">
        <f>AY12+'Model Inputs'!$F$61</f>
        <v>221.02329769500912</v>
      </c>
      <c r="AZ17" s="38">
        <f>AZ12+'Model Inputs'!$F$61</f>
        <v>225.5941151008976</v>
      </c>
      <c r="BA17" s="38">
        <f>BA12+'Model Inputs'!$F$61</f>
        <v>230.25634885490382</v>
      </c>
      <c r="BB17" s="38">
        <f>BB12+'Model Inputs'!$F$61</f>
        <v>235.01182728399019</v>
      </c>
      <c r="BC17" s="38">
        <f>BC12+'Model Inputs'!$F$61</f>
        <v>239.86241528165829</v>
      </c>
      <c r="BD17" s="38">
        <f>BD12+'Model Inputs'!$F$61</f>
        <v>244.81001503927973</v>
      </c>
      <c r="BE17" s="38">
        <f>BE12+'Model Inputs'!$F$61</f>
        <v>249.8565667920536</v>
      </c>
      <c r="BF17" s="38">
        <f>BF12+'Model Inputs'!$F$61</f>
        <v>255.00404957988295</v>
      </c>
      <c r="BG17" s="38">
        <f>BG12+'Model Inputs'!$F$61</f>
        <v>260.25448202346888</v>
      </c>
      <c r="BH17" s="38">
        <f>BH12+'Model Inputs'!$F$61</f>
        <v>265.60992311592656</v>
      </c>
      <c r="BI17" s="38">
        <f>BI12+'Model Inputs'!$F$61</f>
        <v>271.07247303023337</v>
      </c>
      <c r="BJ17" s="38">
        <f>BJ12+'Model Inputs'!$F$61</f>
        <v>276.64427394282632</v>
      </c>
      <c r="BK17" s="38">
        <f>BK12+'Model Inputs'!$F$61</f>
        <v>282.32751087367114</v>
      </c>
      <c r="BL17" s="38">
        <f>BL12+'Model Inputs'!$F$61</f>
        <v>288.12441254313285</v>
      </c>
      <c r="BM17" s="38">
        <f>BM12+'Model Inputs'!$F$61</f>
        <v>294.03725224598384</v>
      </c>
      <c r="BN17" s="38">
        <f>BN12+'Model Inputs'!$F$61</f>
        <v>300.06834874289177</v>
      </c>
      <c r="BO17" s="38">
        <f>BO12+'Model Inputs'!$F$61</f>
        <v>306.22006716973783</v>
      </c>
    </row>
    <row r="18" spans="1:67" ht="15" customHeight="1" x14ac:dyDescent="0.2">
      <c r="A18" s="14" t="s">
        <v>189</v>
      </c>
      <c r="B18" s="22"/>
      <c r="C18" s="38">
        <f>C11+'Model Inputs'!$F$62</f>
        <v>75.28934000000001</v>
      </c>
      <c r="D18" s="38">
        <f>D11+'Model Inputs'!$F$62</f>
        <v>74.729340000000008</v>
      </c>
      <c r="E18" s="38">
        <f>E11+'Model Inputs'!$F$62</f>
        <v>74.584957570496016</v>
      </c>
      <c r="F18" s="38">
        <f>F11+'Model Inputs'!$F$62</f>
        <v>73.698926489383041</v>
      </c>
      <c r="G18" s="38">
        <f>G11+'Model Inputs'!$F$62</f>
        <v>75.31170216511677</v>
      </c>
      <c r="H18" s="38">
        <f>H11+'Model Inputs'!$F$62</f>
        <v>76.953149408419108</v>
      </c>
      <c r="I18" s="38">
        <f>I11+'Model Inputs'!$F$62</f>
        <v>78.627425596587486</v>
      </c>
      <c r="J18" s="38">
        <f>J11+'Model Inputs'!$F$62</f>
        <v>80.335187308519238</v>
      </c>
      <c r="K18" s="38">
        <f>K11+'Model Inputs'!$F$62</f>
        <v>82.07710425468963</v>
      </c>
      <c r="L18" s="38">
        <f>L11+'Model Inputs'!$F$62</f>
        <v>83.853859539783429</v>
      </c>
      <c r="M18" s="38">
        <f>M11+'Model Inputs'!$F$62</f>
        <v>85.666149930579095</v>
      </c>
      <c r="N18" s="38">
        <f>N11+'Model Inputs'!$F$62</f>
        <v>87.514686129190679</v>
      </c>
      <c r="O18" s="38">
        <f>O11+'Model Inputs'!$F$62</f>
        <v>89.400193051774494</v>
      </c>
      <c r="P18" s="38">
        <f>P11+'Model Inputs'!$F$62</f>
        <v>91.323410112809981</v>
      </c>
      <c r="Q18" s="38">
        <f>Q11+'Model Inputs'!$F$62</f>
        <v>93.285091515066185</v>
      </c>
      <c r="R18" s="38">
        <f>R11+'Model Inputs'!$F$62</f>
        <v>95.286006545367513</v>
      </c>
      <c r="S18" s="38">
        <f>S11+'Model Inputs'!$F$62</f>
        <v>97.326939876274864</v>
      </c>
      <c r="T18" s="38">
        <f>T11+'Model Inputs'!$F$62</f>
        <v>99.408691873800365</v>
      </c>
      <c r="U18" s="38">
        <f>U11+'Model Inputs'!$F$62</f>
        <v>101.53207891127637</v>
      </c>
      <c r="V18" s="38">
        <f>V11+'Model Inputs'!$F$62</f>
        <v>103.69793368950189</v>
      </c>
      <c r="W18" s="38">
        <f>W11+'Model Inputs'!$F$62</f>
        <v>105.90710556329194</v>
      </c>
      <c r="X18" s="38">
        <f>X11+'Model Inputs'!$F$62</f>
        <v>108.16046087455777</v>
      </c>
      <c r="Y18" s="38">
        <f>Y11+'Model Inputs'!$F$62</f>
        <v>110.45888329204892</v>
      </c>
      <c r="Z18" s="38">
        <f>Z11+'Model Inputs'!$F$62</f>
        <v>112.8032741578899</v>
      </c>
      <c r="AA18" s="38">
        <f>AA11+'Model Inputs'!$F$62</f>
        <v>115.1945528410477</v>
      </c>
      <c r="AB18" s="38">
        <f>AB11+'Model Inputs'!$F$62</f>
        <v>117.63365709786865</v>
      </c>
      <c r="AC18" s="38">
        <f>AC11+'Model Inputs'!$F$62</f>
        <v>120.12154343982603</v>
      </c>
      <c r="AD18" s="38">
        <f>AD11+'Model Inputs'!$F$62</f>
        <v>122.65918750862254</v>
      </c>
      <c r="AE18" s="38">
        <f>AE11+'Model Inputs'!$F$62</f>
        <v>125.247584458795</v>
      </c>
      <c r="AF18" s="38">
        <f>AF11+'Model Inputs'!$F$62</f>
        <v>127.88774934797091</v>
      </c>
      <c r="AG18" s="38">
        <f>AG11+'Model Inputs'!$F$62</f>
        <v>130.58071753493033</v>
      </c>
      <c r="AH18" s="38">
        <f>AH11+'Model Inputs'!$F$62</f>
        <v>133.32754508562897</v>
      </c>
      <c r="AI18" s="38">
        <f>AI11+'Model Inputs'!$F$62</f>
        <v>136.12930918734156</v>
      </c>
      <c r="AJ18" s="38">
        <f>AJ11+'Model Inputs'!$F$62</f>
        <v>138.98710857108836</v>
      </c>
      <c r="AK18" s="38">
        <f>AK11+'Model Inputs'!$F$62</f>
        <v>141.90206394251015</v>
      </c>
      <c r="AL18" s="38">
        <f>AL11+'Model Inputs'!$F$62</f>
        <v>144.87531842136036</v>
      </c>
      <c r="AM18" s="38">
        <f>AM11+'Model Inputs'!$F$62</f>
        <v>147.90803798978754</v>
      </c>
      <c r="AN18" s="38">
        <f>AN11+'Model Inputs'!$F$62</f>
        <v>151.00141194958331</v>
      </c>
      <c r="AO18" s="38">
        <f>AO11+'Model Inputs'!$F$62</f>
        <v>154.15665338857497</v>
      </c>
      <c r="AP18" s="38">
        <f>AP11+'Model Inputs'!$F$62</f>
        <v>157.37499965634646</v>
      </c>
      <c r="AQ18" s="38">
        <f>AQ11+'Model Inputs'!$F$62</f>
        <v>160.6577128494734</v>
      </c>
      <c r="AR18" s="38">
        <f>AR11+'Model Inputs'!$F$62</f>
        <v>164.00608030646288</v>
      </c>
      <c r="AS18" s="38">
        <f>AS11+'Model Inputs'!$F$62</f>
        <v>167.42141511259217</v>
      </c>
      <c r="AT18" s="38">
        <f>AT11+'Model Inputs'!$F$62</f>
        <v>170.905056614844</v>
      </c>
      <c r="AU18" s="38">
        <f>AU11+'Model Inputs'!$F$62</f>
        <v>174.45837094714091</v>
      </c>
      <c r="AV18" s="38">
        <f>AV11+'Model Inputs'!$F$62</f>
        <v>178.08275156608369</v>
      </c>
      <c r="AW18" s="38">
        <f>AW11+'Model Inputs'!$F$62</f>
        <v>181.77961979740536</v>
      </c>
      <c r="AX18" s="38">
        <f>AX11+'Model Inputs'!$F$62</f>
        <v>185.55042539335346</v>
      </c>
      <c r="AY18" s="38">
        <f>AY11+'Model Inputs'!$F$62</f>
        <v>189.39664710122054</v>
      </c>
      <c r="AZ18" s="38">
        <f>AZ11+'Model Inputs'!$F$62</f>
        <v>193.31979324324499</v>
      </c>
      <c r="BA18" s="38">
        <f>BA11+'Model Inputs'!$F$62</f>
        <v>197.3214023081099</v>
      </c>
      <c r="BB18" s="38">
        <f>BB11+'Model Inputs'!$F$62</f>
        <v>201.40304355427207</v>
      </c>
      <c r="BC18" s="38">
        <f>BC11+'Model Inputs'!$F$62</f>
        <v>205.56631762535756</v>
      </c>
      <c r="BD18" s="38">
        <f>BD11+'Model Inputs'!$F$62</f>
        <v>209.81285717786471</v>
      </c>
      <c r="BE18" s="38">
        <f>BE11+'Model Inputs'!$F$62</f>
        <v>214.14432752142199</v>
      </c>
      <c r="BF18" s="38">
        <f>BF11+'Model Inputs'!$F$62</f>
        <v>218.56242727185042</v>
      </c>
      <c r="BG18" s="38">
        <f>BG11+'Model Inputs'!$F$62</f>
        <v>223.06888901728746</v>
      </c>
      <c r="BH18" s="38">
        <f>BH11+'Model Inputs'!$F$62</f>
        <v>227.66547999763321</v>
      </c>
      <c r="BI18" s="38">
        <f>BI11+'Model Inputs'!$F$62</f>
        <v>232.35400279758585</v>
      </c>
      <c r="BJ18" s="38">
        <f>BJ11+'Model Inputs'!$F$62</f>
        <v>237.13629605353759</v>
      </c>
      <c r="BK18" s="38">
        <f>BK11+'Model Inputs'!$F$62</f>
        <v>242.01423517460836</v>
      </c>
      <c r="BL18" s="38">
        <f>BL11+'Model Inputs'!$F$62</f>
        <v>246.98973307810053</v>
      </c>
      <c r="BM18" s="38">
        <f>BM11+'Model Inputs'!$F$62</f>
        <v>252.06474093966256</v>
      </c>
      <c r="BN18" s="38">
        <f>BN11+'Model Inputs'!$F$62</f>
        <v>257.2412489584558</v>
      </c>
      <c r="BO18" s="38">
        <f>BO11+'Model Inputs'!$F$62</f>
        <v>262.52128713762494</v>
      </c>
    </row>
    <row r="19" spans="1:67" ht="15" customHeight="1" x14ac:dyDescent="0.2">
      <c r="A19" s="14" t="s">
        <v>190</v>
      </c>
      <c r="B19" s="22"/>
      <c r="C19" s="38">
        <f>C11+'Model Inputs'!$F$63</f>
        <v>77.449340000000007</v>
      </c>
      <c r="D19" s="38">
        <f>D11+'Model Inputs'!$F$63</f>
        <v>76.889340000000004</v>
      </c>
      <c r="E19" s="38">
        <f>E11+'Model Inputs'!$F$63</f>
        <v>76.744957570496013</v>
      </c>
      <c r="F19" s="38">
        <f>F11+'Model Inputs'!$F$63</f>
        <v>75.858926489383038</v>
      </c>
      <c r="G19" s="38">
        <f>G11+'Model Inputs'!$F$63</f>
        <v>77.471702165116767</v>
      </c>
      <c r="H19" s="38">
        <f>H11+'Model Inputs'!$F$63</f>
        <v>79.113149408419105</v>
      </c>
      <c r="I19" s="38">
        <f>I11+'Model Inputs'!$F$63</f>
        <v>80.787425596587482</v>
      </c>
      <c r="J19" s="38">
        <f>J11+'Model Inputs'!$F$63</f>
        <v>82.495187308519235</v>
      </c>
      <c r="K19" s="38">
        <f>K11+'Model Inputs'!$F$63</f>
        <v>84.237104254689626</v>
      </c>
      <c r="L19" s="38">
        <f>L11+'Model Inputs'!$F$63</f>
        <v>86.013859539783425</v>
      </c>
      <c r="M19" s="38">
        <f>M11+'Model Inputs'!$F$63</f>
        <v>87.826149930579092</v>
      </c>
      <c r="N19" s="38">
        <f>N11+'Model Inputs'!$F$63</f>
        <v>89.674686129190675</v>
      </c>
      <c r="O19" s="38">
        <f>O11+'Model Inputs'!$F$63</f>
        <v>91.56019305177449</v>
      </c>
      <c r="P19" s="38">
        <f>P11+'Model Inputs'!$F$63</f>
        <v>93.483410112809977</v>
      </c>
      <c r="Q19" s="38">
        <f>Q11+'Model Inputs'!$F$63</f>
        <v>95.445091515066181</v>
      </c>
      <c r="R19" s="38">
        <f>R11+'Model Inputs'!$F$63</f>
        <v>97.44600654536751</v>
      </c>
      <c r="S19" s="38">
        <f>S11+'Model Inputs'!$F$63</f>
        <v>99.48693987627486</v>
      </c>
      <c r="T19" s="38">
        <f>T11+'Model Inputs'!$F$63</f>
        <v>101.56869187380036</v>
      </c>
      <c r="U19" s="38">
        <f>U11+'Model Inputs'!$F$63</f>
        <v>103.69207891127637</v>
      </c>
      <c r="V19" s="38">
        <f>V11+'Model Inputs'!$F$63</f>
        <v>105.85793368950189</v>
      </c>
      <c r="W19" s="38">
        <f>W11+'Model Inputs'!$F$63</f>
        <v>108.06710556329193</v>
      </c>
      <c r="X19" s="38">
        <f>X11+'Model Inputs'!$F$63</f>
        <v>110.32046087455777</v>
      </c>
      <c r="Y19" s="38">
        <f>Y11+'Model Inputs'!$F$63</f>
        <v>112.61888329204892</v>
      </c>
      <c r="Z19" s="38">
        <f>Z11+'Model Inputs'!$F$63</f>
        <v>114.9632741578899</v>
      </c>
      <c r="AA19" s="38">
        <f>AA11+'Model Inputs'!$F$63</f>
        <v>117.35455284104769</v>
      </c>
      <c r="AB19" s="38">
        <f>AB11+'Model Inputs'!$F$63</f>
        <v>119.79365709786865</v>
      </c>
      <c r="AC19" s="38">
        <f>AC11+'Model Inputs'!$F$63</f>
        <v>122.28154343982602</v>
      </c>
      <c r="AD19" s="38">
        <f>AD11+'Model Inputs'!$F$63</f>
        <v>124.81918750862253</v>
      </c>
      <c r="AE19" s="38">
        <f>AE11+'Model Inputs'!$F$63</f>
        <v>127.407584458795</v>
      </c>
      <c r="AF19" s="38">
        <f>AF11+'Model Inputs'!$F$63</f>
        <v>130.04774934797092</v>
      </c>
      <c r="AG19" s="38">
        <f>AG11+'Model Inputs'!$F$63</f>
        <v>132.74071753493035</v>
      </c>
      <c r="AH19" s="38">
        <f>AH11+'Model Inputs'!$F$63</f>
        <v>135.48754508562894</v>
      </c>
      <c r="AI19" s="38">
        <f>AI11+'Model Inputs'!$F$63</f>
        <v>138.28930918734153</v>
      </c>
      <c r="AJ19" s="38">
        <f>AJ11+'Model Inputs'!$F$63</f>
        <v>141.14710857108838</v>
      </c>
      <c r="AK19" s="38">
        <f>AK11+'Model Inputs'!$F$63</f>
        <v>144.06206394251012</v>
      </c>
      <c r="AL19" s="38">
        <f>AL11+'Model Inputs'!$F$63</f>
        <v>147.03531842136033</v>
      </c>
      <c r="AM19" s="38">
        <f>AM11+'Model Inputs'!$F$63</f>
        <v>150.06803798978757</v>
      </c>
      <c r="AN19" s="38">
        <f>AN11+'Model Inputs'!$F$63</f>
        <v>153.16141194958328</v>
      </c>
      <c r="AO19" s="38">
        <f>AO11+'Model Inputs'!$F$63</f>
        <v>156.31665338857499</v>
      </c>
      <c r="AP19" s="38">
        <f>AP11+'Model Inputs'!$F$63</f>
        <v>159.53499965634649</v>
      </c>
      <c r="AQ19" s="38">
        <f>AQ11+'Model Inputs'!$F$63</f>
        <v>162.81771284947342</v>
      </c>
      <c r="AR19" s="38">
        <f>AR11+'Model Inputs'!$F$63</f>
        <v>166.1660803064629</v>
      </c>
      <c r="AS19" s="38">
        <f>AS11+'Model Inputs'!$F$63</f>
        <v>169.58141511259214</v>
      </c>
      <c r="AT19" s="38">
        <f>AT11+'Model Inputs'!$F$63</f>
        <v>173.06505661484402</v>
      </c>
      <c r="AU19" s="38">
        <f>AU11+'Model Inputs'!$F$63</f>
        <v>176.61837094714087</v>
      </c>
      <c r="AV19" s="38">
        <f>AV11+'Model Inputs'!$F$63</f>
        <v>180.24275156608371</v>
      </c>
      <c r="AW19" s="38">
        <f>AW11+'Model Inputs'!$F$63</f>
        <v>183.93961979740538</v>
      </c>
      <c r="AX19" s="38">
        <f>AX11+'Model Inputs'!$F$63</f>
        <v>187.71042539335349</v>
      </c>
      <c r="AY19" s="38">
        <f>AY11+'Model Inputs'!$F$63</f>
        <v>191.55664710122056</v>
      </c>
      <c r="AZ19" s="38">
        <f>AZ11+'Model Inputs'!$F$63</f>
        <v>195.47979324324496</v>
      </c>
      <c r="BA19" s="38">
        <f>BA11+'Model Inputs'!$F$63</f>
        <v>199.48140230810986</v>
      </c>
      <c r="BB19" s="38">
        <f>BB11+'Model Inputs'!$F$63</f>
        <v>203.5630435542721</v>
      </c>
      <c r="BC19" s="38">
        <f>BC11+'Model Inputs'!$F$63</f>
        <v>207.72631762535752</v>
      </c>
      <c r="BD19" s="38">
        <f>BD11+'Model Inputs'!$F$63</f>
        <v>211.97285717786468</v>
      </c>
      <c r="BE19" s="38">
        <f>BE11+'Model Inputs'!$F$63</f>
        <v>216.30432752142201</v>
      </c>
      <c r="BF19" s="38">
        <f>BF11+'Model Inputs'!$F$63</f>
        <v>220.72242727185045</v>
      </c>
      <c r="BG19" s="38">
        <f>BG11+'Model Inputs'!$F$63</f>
        <v>225.22888901728743</v>
      </c>
      <c r="BH19" s="38">
        <f>BH11+'Model Inputs'!$F$63</f>
        <v>229.82547999763318</v>
      </c>
      <c r="BI19" s="38">
        <f>BI11+'Model Inputs'!$F$63</f>
        <v>234.51400279758587</v>
      </c>
      <c r="BJ19" s="38">
        <f>BJ11+'Model Inputs'!$F$63</f>
        <v>239.29629605353756</v>
      </c>
      <c r="BK19" s="38">
        <f>BK11+'Model Inputs'!$F$63</f>
        <v>244.17423517460833</v>
      </c>
      <c r="BL19" s="38">
        <f>BL11+'Model Inputs'!$F$63</f>
        <v>249.1497330781005</v>
      </c>
      <c r="BM19" s="38">
        <f>BM11+'Model Inputs'!$F$63</f>
        <v>254.22474093966252</v>
      </c>
      <c r="BN19" s="38">
        <f>BN11+'Model Inputs'!$F$63</f>
        <v>259.40124895845577</v>
      </c>
      <c r="BO19" s="38">
        <f>BO11+'Model Inputs'!$F$63</f>
        <v>264.68128713762491</v>
      </c>
    </row>
    <row r="20" spans="1:67" ht="15" customHeight="1" x14ac:dyDescent="0.2">
      <c r="A20" s="14" t="s">
        <v>191</v>
      </c>
      <c r="B20" s="22"/>
      <c r="C20" s="38">
        <f>C11+'Model Inputs'!$F$64</f>
        <v>69.869340000000022</v>
      </c>
      <c r="D20" s="38">
        <f>D11+'Model Inputs'!$F$64</f>
        <v>69.30934000000002</v>
      </c>
      <c r="E20" s="38">
        <f>E11+'Model Inputs'!$F$64</f>
        <v>69.164957570496028</v>
      </c>
      <c r="F20" s="38">
        <f>F11+'Model Inputs'!$F$64</f>
        <v>68.278926489383053</v>
      </c>
      <c r="G20" s="38">
        <f>G11+'Model Inputs'!$F$64</f>
        <v>69.891702165116783</v>
      </c>
      <c r="H20" s="38">
        <f>H11+'Model Inputs'!$F$64</f>
        <v>71.533149408419121</v>
      </c>
      <c r="I20" s="38">
        <f>I11+'Model Inputs'!$F$64</f>
        <v>73.207425596587484</v>
      </c>
      <c r="J20" s="38">
        <f>J11+'Model Inputs'!$F$64</f>
        <v>74.915187308519251</v>
      </c>
      <c r="K20" s="38">
        <f>K11+'Model Inputs'!$F$64</f>
        <v>76.657104254689642</v>
      </c>
      <c r="L20" s="38">
        <f>L11+'Model Inputs'!$F$64</f>
        <v>78.433859539783441</v>
      </c>
      <c r="M20" s="38">
        <f>M11+'Model Inputs'!$F$64</f>
        <v>80.246149930579094</v>
      </c>
      <c r="N20" s="38">
        <f>N11+'Model Inputs'!$F$64</f>
        <v>82.094686129190677</v>
      </c>
      <c r="O20" s="38">
        <f>O11+'Model Inputs'!$F$64</f>
        <v>83.980193051774506</v>
      </c>
      <c r="P20" s="38">
        <f>P11+'Model Inputs'!$F$64</f>
        <v>85.903410112809979</v>
      </c>
      <c r="Q20" s="38">
        <f>Q11+'Model Inputs'!$F$64</f>
        <v>87.865091515066183</v>
      </c>
      <c r="R20" s="38">
        <f>R11+'Model Inputs'!$F$64</f>
        <v>89.866006545367526</v>
      </c>
      <c r="S20" s="38">
        <f>S11+'Model Inputs'!$F$64</f>
        <v>91.906939876274862</v>
      </c>
      <c r="T20" s="38">
        <f>T11+'Model Inputs'!$F$64</f>
        <v>93.988691873800377</v>
      </c>
      <c r="U20" s="38">
        <f>U11+'Model Inputs'!$F$64</f>
        <v>96.11207891127637</v>
      </c>
      <c r="V20" s="38">
        <f>V11+'Model Inputs'!$F$64</f>
        <v>98.277933689501907</v>
      </c>
      <c r="W20" s="38">
        <f>W11+'Model Inputs'!$F$64</f>
        <v>100.48710556329195</v>
      </c>
      <c r="X20" s="38">
        <f>X11+'Model Inputs'!$F$64</f>
        <v>102.74046087455778</v>
      </c>
      <c r="Y20" s="38">
        <f>Y11+'Model Inputs'!$F$64</f>
        <v>105.03888329204892</v>
      </c>
      <c r="Z20" s="38">
        <f>Z11+'Model Inputs'!$F$64</f>
        <v>107.3832741578899</v>
      </c>
      <c r="AA20" s="38">
        <f>AA11+'Model Inputs'!$F$64</f>
        <v>109.77455284104769</v>
      </c>
      <c r="AB20" s="38">
        <f>AB11+'Model Inputs'!$F$64</f>
        <v>112.21365709786866</v>
      </c>
      <c r="AC20" s="38">
        <f>AC11+'Model Inputs'!$F$64</f>
        <v>114.70154343982603</v>
      </c>
      <c r="AD20" s="38">
        <f>AD11+'Model Inputs'!$F$64</f>
        <v>117.23918750862254</v>
      </c>
      <c r="AE20" s="38">
        <f>AE11+'Model Inputs'!$F$64</f>
        <v>119.827584458795</v>
      </c>
      <c r="AF20" s="38">
        <f>AF11+'Model Inputs'!$F$64</f>
        <v>122.46774934797091</v>
      </c>
      <c r="AG20" s="38">
        <f>AG11+'Model Inputs'!$F$64</f>
        <v>125.16071753493034</v>
      </c>
      <c r="AH20" s="38">
        <f>AH11+'Model Inputs'!$F$64</f>
        <v>127.90754508562895</v>
      </c>
      <c r="AI20" s="38">
        <f>AI11+'Model Inputs'!$F$64</f>
        <v>130.70930918734155</v>
      </c>
      <c r="AJ20" s="38">
        <f>AJ11+'Model Inputs'!$F$64</f>
        <v>133.56710857108837</v>
      </c>
      <c r="AK20" s="38">
        <f>AK11+'Model Inputs'!$F$64</f>
        <v>136.48206394251014</v>
      </c>
      <c r="AL20" s="38">
        <f>AL11+'Model Inputs'!$F$64</f>
        <v>139.45531842136035</v>
      </c>
      <c r="AM20" s="38">
        <f>AM11+'Model Inputs'!$F$64</f>
        <v>142.48803798978756</v>
      </c>
      <c r="AN20" s="38">
        <f>AN11+'Model Inputs'!$F$64</f>
        <v>145.5814119495833</v>
      </c>
      <c r="AO20" s="38">
        <f>AO11+'Model Inputs'!$F$64</f>
        <v>148.73665338857498</v>
      </c>
      <c r="AP20" s="38">
        <f>AP11+'Model Inputs'!$F$64</f>
        <v>151.95499965634647</v>
      </c>
      <c r="AQ20" s="38">
        <f>AQ11+'Model Inputs'!$F$64</f>
        <v>155.23771284947341</v>
      </c>
      <c r="AR20" s="38">
        <f>AR11+'Model Inputs'!$F$64</f>
        <v>158.58608030646289</v>
      </c>
      <c r="AS20" s="38">
        <f>AS11+'Model Inputs'!$F$64</f>
        <v>162.00141511259216</v>
      </c>
      <c r="AT20" s="38">
        <f>AT11+'Model Inputs'!$F$64</f>
        <v>165.48505661484401</v>
      </c>
      <c r="AU20" s="38">
        <f>AU11+'Model Inputs'!$F$64</f>
        <v>169.03837094714089</v>
      </c>
      <c r="AV20" s="38">
        <f>AV11+'Model Inputs'!$F$64</f>
        <v>172.6627515660837</v>
      </c>
      <c r="AW20" s="38">
        <f>AW11+'Model Inputs'!$F$64</f>
        <v>176.35961979740537</v>
      </c>
      <c r="AX20" s="38">
        <f>AX11+'Model Inputs'!$F$64</f>
        <v>180.13042539335348</v>
      </c>
      <c r="AY20" s="38">
        <f>AY11+'Model Inputs'!$F$64</f>
        <v>183.97664710122055</v>
      </c>
      <c r="AZ20" s="38">
        <f>AZ11+'Model Inputs'!$F$64</f>
        <v>187.89979324324497</v>
      </c>
      <c r="BA20" s="38">
        <f>BA11+'Model Inputs'!$F$64</f>
        <v>191.90140230810988</v>
      </c>
      <c r="BB20" s="38">
        <f>BB11+'Model Inputs'!$F$64</f>
        <v>195.98304355427209</v>
      </c>
      <c r="BC20" s="38">
        <f>BC11+'Model Inputs'!$F$64</f>
        <v>200.14631762535754</v>
      </c>
      <c r="BD20" s="38">
        <f>BD11+'Model Inputs'!$F$64</f>
        <v>204.3928571778647</v>
      </c>
      <c r="BE20" s="38">
        <f>BE11+'Model Inputs'!$F$64</f>
        <v>208.724327521422</v>
      </c>
      <c r="BF20" s="38">
        <f>BF11+'Model Inputs'!$F$64</f>
        <v>213.14242727185044</v>
      </c>
      <c r="BG20" s="38">
        <f>BG11+'Model Inputs'!$F$64</f>
        <v>217.64888901728744</v>
      </c>
      <c r="BH20" s="38">
        <f>BH11+'Model Inputs'!$F$64</f>
        <v>222.2454799976332</v>
      </c>
      <c r="BI20" s="38">
        <f>BI11+'Model Inputs'!$F$64</f>
        <v>226.93400279758586</v>
      </c>
      <c r="BJ20" s="38">
        <f>BJ11+'Model Inputs'!$F$64</f>
        <v>231.71629605353758</v>
      </c>
      <c r="BK20" s="38">
        <f>BK11+'Model Inputs'!$F$64</f>
        <v>236.59423517460834</v>
      </c>
      <c r="BL20" s="38">
        <f>BL11+'Model Inputs'!$F$64</f>
        <v>241.56973307810051</v>
      </c>
      <c r="BM20" s="38">
        <f>BM11+'Model Inputs'!$F$64</f>
        <v>246.64474093966254</v>
      </c>
      <c r="BN20" s="38">
        <f>BN11+'Model Inputs'!$F$64</f>
        <v>251.82124895845578</v>
      </c>
      <c r="BO20" s="38">
        <f>BO11+'Model Inputs'!$F$64</f>
        <v>257.10128713762492</v>
      </c>
    </row>
    <row r="21" spans="1:67" ht="15" customHeight="1" x14ac:dyDescent="0.2">
      <c r="A21" s="14" t="s">
        <v>192</v>
      </c>
      <c r="B21" s="22"/>
      <c r="C21" s="38">
        <f>C11+'Model Inputs'!$F$65</f>
        <v>59.899340000000009</v>
      </c>
      <c r="D21" s="38">
        <f>D11+'Model Inputs'!$F$65</f>
        <v>59.339340000000007</v>
      </c>
      <c r="E21" s="38">
        <f>E11+'Model Inputs'!$F$65</f>
        <v>59.194957570496015</v>
      </c>
      <c r="F21" s="38">
        <f>F11+'Model Inputs'!$F$65</f>
        <v>58.30892648938304</v>
      </c>
      <c r="G21" s="38">
        <f>G11+'Model Inputs'!$F$65</f>
        <v>59.92170216511677</v>
      </c>
      <c r="H21" s="38">
        <f>H11+'Model Inputs'!$F$65</f>
        <v>61.563149408419108</v>
      </c>
      <c r="I21" s="38">
        <f>I11+'Model Inputs'!$F$65</f>
        <v>63.237425596587485</v>
      </c>
      <c r="J21" s="38">
        <f>J11+'Model Inputs'!$F$65</f>
        <v>64.945187308519237</v>
      </c>
      <c r="K21" s="38">
        <f>K11+'Model Inputs'!$F$65</f>
        <v>66.687104254689629</v>
      </c>
      <c r="L21" s="38">
        <f>L11+'Model Inputs'!$F$65</f>
        <v>68.463859539783428</v>
      </c>
      <c r="M21" s="38">
        <f>M11+'Model Inputs'!$F$65</f>
        <v>70.276149930579095</v>
      </c>
      <c r="N21" s="38">
        <f>N11+'Model Inputs'!$F$65</f>
        <v>72.124686129190678</v>
      </c>
      <c r="O21" s="38">
        <f>O11+'Model Inputs'!$F$65</f>
        <v>74.010193051774493</v>
      </c>
      <c r="P21" s="38">
        <f>P11+'Model Inputs'!$F$65</f>
        <v>75.93341011280998</v>
      </c>
      <c r="Q21" s="38">
        <f>Q11+'Model Inputs'!$F$65</f>
        <v>77.895091515066184</v>
      </c>
      <c r="R21" s="38">
        <f>R11+'Model Inputs'!$F$65</f>
        <v>79.896006545367513</v>
      </c>
      <c r="S21" s="38">
        <f>S11+'Model Inputs'!$F$65</f>
        <v>81.936939876274863</v>
      </c>
      <c r="T21" s="38">
        <f>T11+'Model Inputs'!$F$65</f>
        <v>84.018691873800364</v>
      </c>
      <c r="U21" s="38">
        <f>U11+'Model Inputs'!$F$65</f>
        <v>86.142078911276371</v>
      </c>
      <c r="V21" s="38">
        <f>V11+'Model Inputs'!$F$65</f>
        <v>88.307933689501894</v>
      </c>
      <c r="W21" s="38">
        <f>W11+'Model Inputs'!$F$65</f>
        <v>90.517105563291935</v>
      </c>
      <c r="X21" s="38">
        <f>X11+'Model Inputs'!$F$65</f>
        <v>92.77046087455777</v>
      </c>
      <c r="Y21" s="38">
        <f>Y11+'Model Inputs'!$F$65</f>
        <v>95.068883292048923</v>
      </c>
      <c r="Z21" s="38">
        <f>Z11+'Model Inputs'!$F$65</f>
        <v>97.413274157889902</v>
      </c>
      <c r="AA21" s="38">
        <f>AA11+'Model Inputs'!$F$65</f>
        <v>99.804552841047695</v>
      </c>
      <c r="AB21" s="38">
        <f>AB11+'Model Inputs'!$F$65</f>
        <v>102.24365709786865</v>
      </c>
      <c r="AC21" s="38">
        <f>AC11+'Model Inputs'!$F$65</f>
        <v>104.73154343982603</v>
      </c>
      <c r="AD21" s="38">
        <f>AD11+'Model Inputs'!$F$65</f>
        <v>107.26918750862254</v>
      </c>
      <c r="AE21" s="38">
        <f>AE11+'Model Inputs'!$F$65</f>
        <v>109.857584458795</v>
      </c>
      <c r="AF21" s="38">
        <f>AF11+'Model Inputs'!$F$65</f>
        <v>112.49774934797091</v>
      </c>
      <c r="AG21" s="38">
        <f>AG11+'Model Inputs'!$F$65</f>
        <v>115.19071753493034</v>
      </c>
      <c r="AH21" s="38">
        <f>AH11+'Model Inputs'!$F$65</f>
        <v>117.93754508562895</v>
      </c>
      <c r="AI21" s="38">
        <f>AI11+'Model Inputs'!$F$65</f>
        <v>120.73930918734155</v>
      </c>
      <c r="AJ21" s="38">
        <f>AJ11+'Model Inputs'!$F$65</f>
        <v>123.59710857108837</v>
      </c>
      <c r="AK21" s="38">
        <f>AK11+'Model Inputs'!$F$65</f>
        <v>126.51206394251014</v>
      </c>
      <c r="AL21" s="38">
        <f>AL11+'Model Inputs'!$F$65</f>
        <v>129.48531842136035</v>
      </c>
      <c r="AM21" s="38">
        <f>AM11+'Model Inputs'!$F$65</f>
        <v>132.51803798978756</v>
      </c>
      <c r="AN21" s="38">
        <f>AN11+'Model Inputs'!$F$65</f>
        <v>135.6114119495833</v>
      </c>
      <c r="AO21" s="38">
        <f>AO11+'Model Inputs'!$F$65</f>
        <v>138.76665338857498</v>
      </c>
      <c r="AP21" s="38">
        <f>AP11+'Model Inputs'!$F$65</f>
        <v>141.98499965634647</v>
      </c>
      <c r="AQ21" s="38">
        <f>AQ11+'Model Inputs'!$F$65</f>
        <v>145.26771284947341</v>
      </c>
      <c r="AR21" s="38">
        <f>AR11+'Model Inputs'!$F$65</f>
        <v>148.61608030646289</v>
      </c>
      <c r="AS21" s="38">
        <f>AS11+'Model Inputs'!$F$65</f>
        <v>152.03141511259216</v>
      </c>
      <c r="AT21" s="38">
        <f>AT11+'Model Inputs'!$F$65</f>
        <v>155.51505661484401</v>
      </c>
      <c r="AU21" s="38">
        <f>AU11+'Model Inputs'!$F$65</f>
        <v>159.06837094714089</v>
      </c>
      <c r="AV21" s="38">
        <f>AV11+'Model Inputs'!$F$65</f>
        <v>162.6927515660837</v>
      </c>
      <c r="AW21" s="38">
        <f>AW11+'Model Inputs'!$F$65</f>
        <v>166.38961979740537</v>
      </c>
      <c r="AX21" s="38">
        <f>AX11+'Model Inputs'!$F$65</f>
        <v>170.16042539335348</v>
      </c>
      <c r="AY21" s="38">
        <f>AY11+'Model Inputs'!$F$65</f>
        <v>174.00664710122055</v>
      </c>
      <c r="AZ21" s="38">
        <f>AZ11+'Model Inputs'!$F$65</f>
        <v>177.92979324324497</v>
      </c>
      <c r="BA21" s="38">
        <f>BA11+'Model Inputs'!$F$65</f>
        <v>181.93140230810988</v>
      </c>
      <c r="BB21" s="38">
        <f>BB11+'Model Inputs'!$F$65</f>
        <v>186.01304355427209</v>
      </c>
      <c r="BC21" s="38">
        <f>BC11+'Model Inputs'!$F$65</f>
        <v>190.17631762535754</v>
      </c>
      <c r="BD21" s="38">
        <f>BD11+'Model Inputs'!$F$65</f>
        <v>194.4228571778647</v>
      </c>
      <c r="BE21" s="38">
        <f>BE11+'Model Inputs'!$F$65</f>
        <v>198.754327521422</v>
      </c>
      <c r="BF21" s="38">
        <f>BF11+'Model Inputs'!$F$65</f>
        <v>203.17242727185044</v>
      </c>
      <c r="BG21" s="38">
        <f>BG11+'Model Inputs'!$F$65</f>
        <v>207.67888901728745</v>
      </c>
      <c r="BH21" s="38">
        <f>BH11+'Model Inputs'!$F$65</f>
        <v>212.2754799976332</v>
      </c>
      <c r="BI21" s="38">
        <f>BI11+'Model Inputs'!$F$65</f>
        <v>216.96400279758586</v>
      </c>
      <c r="BJ21" s="38">
        <f>BJ11+'Model Inputs'!$F$65</f>
        <v>221.74629605353758</v>
      </c>
      <c r="BK21" s="38">
        <f>BK11+'Model Inputs'!$F$65</f>
        <v>226.62423517460834</v>
      </c>
      <c r="BL21" s="38">
        <f>BL11+'Model Inputs'!$F$65</f>
        <v>231.59973307810051</v>
      </c>
      <c r="BM21" s="38">
        <f>BM11+'Model Inputs'!$F$65</f>
        <v>236.67474093966254</v>
      </c>
      <c r="BN21" s="38">
        <f>BN11+'Model Inputs'!$F$65</f>
        <v>241.85124895845578</v>
      </c>
      <c r="BO21" s="38">
        <f>BO11+'Model Inputs'!$F$65</f>
        <v>247.13128713762492</v>
      </c>
    </row>
    <row r="22" spans="1:67" ht="15" customHeight="1" x14ac:dyDescent="0.2">
      <c r="A22" s="14" t="s">
        <v>193</v>
      </c>
      <c r="B22" s="22"/>
      <c r="C22" s="38">
        <f>C12+'Model Inputs'!$F$66</f>
        <v>94.102427400586009</v>
      </c>
      <c r="D22" s="38">
        <f>D12+'Model Inputs'!$F$66</f>
        <v>92.252427400586015</v>
      </c>
      <c r="E22" s="38">
        <f>E12+'Model Inputs'!$F$66</f>
        <v>92.067708485080445</v>
      </c>
      <c r="F22" s="38">
        <f>F12+'Model Inputs'!$F$66</f>
        <v>90.992524701257949</v>
      </c>
      <c r="G22" s="38">
        <f>G12+'Model Inputs'!$F$66</f>
        <v>92.87409632294731</v>
      </c>
      <c r="H22" s="38">
        <f>H12+'Model Inputs'!$F$66</f>
        <v>94.786529701394542</v>
      </c>
      <c r="I22" s="38">
        <f>I12+'Model Inputs'!$F$66</f>
        <v>96.737211747410711</v>
      </c>
      <c r="J22" s="38">
        <f>J12+'Model Inputs'!$F$66</f>
        <v>98.726907434347211</v>
      </c>
      <c r="K22" s="38">
        <f>K12+'Model Inputs'!$F$66</f>
        <v>100.75639703502243</v>
      </c>
      <c r="L22" s="38">
        <f>L12+'Model Inputs'!$F$66</f>
        <v>102.82647642771116</v>
      </c>
      <c r="M22" s="38">
        <f>M12+'Model Inputs'!$F$66</f>
        <v>104.93795740825367</v>
      </c>
      <c r="N22" s="38">
        <f>N12+'Model Inputs'!$F$66</f>
        <v>107.09166800840703</v>
      </c>
      <c r="O22" s="38">
        <f>O12+'Model Inputs'!$F$66</f>
        <v>109.28845282056345</v>
      </c>
      <c r="P22" s="38">
        <f>P12+'Model Inputs'!$F$66</f>
        <v>111.529173328963</v>
      </c>
      <c r="Q22" s="38">
        <f>Q12+'Model Inputs'!$F$66</f>
        <v>113.81470824753053</v>
      </c>
      <c r="R22" s="38">
        <f>R12+'Model Inputs'!$F$66</f>
        <v>116.14595386446942</v>
      </c>
      <c r="S22" s="38">
        <f>S12+'Model Inputs'!$F$66</f>
        <v>118.52382439374709</v>
      </c>
      <c r="T22" s="38">
        <f>T12+'Model Inputs'!$F$66</f>
        <v>120.94925233361032</v>
      </c>
      <c r="U22" s="38">
        <f>U12+'Model Inputs'!$F$66</f>
        <v>123.42318883227081</v>
      </c>
      <c r="V22" s="38">
        <f>V12+'Model Inputs'!$F$66</f>
        <v>125.94660406090452</v>
      </c>
      <c r="W22" s="38">
        <f>W12+'Model Inputs'!$F$66</f>
        <v>128.5204875941109</v>
      </c>
      <c r="X22" s="38">
        <f>X12+'Model Inputs'!$F$66</f>
        <v>131.14584879798142</v>
      </c>
      <c r="Y22" s="38">
        <f>Y12+'Model Inputs'!$F$66</f>
        <v>133.82371722592933</v>
      </c>
      <c r="Z22" s="38">
        <f>Z12+'Model Inputs'!$F$66</f>
        <v>136.5551430224362</v>
      </c>
      <c r="AA22" s="38">
        <f>AA12+'Model Inputs'!$F$66</f>
        <v>139.34119733487321</v>
      </c>
      <c r="AB22" s="38">
        <f>AB12+'Model Inputs'!$F$66</f>
        <v>142.18297273355896</v>
      </c>
      <c r="AC22" s="38">
        <f>AC12+'Model Inputs'!$F$66</f>
        <v>145.08158364021841</v>
      </c>
      <c r="AD22" s="38">
        <f>AD12+'Model Inputs'!$F$66</f>
        <v>148.03816676501106</v>
      </c>
      <c r="AE22" s="38">
        <f>AE12+'Model Inputs'!$F$66</f>
        <v>151.05388155229957</v>
      </c>
      <c r="AF22" s="38">
        <f>AF12+'Model Inputs'!$F$66</f>
        <v>154.12991063533386</v>
      </c>
      <c r="AG22" s="38">
        <f>AG12+'Model Inputs'!$F$66</f>
        <v>157.26746030002883</v>
      </c>
      <c r="AH22" s="38">
        <f>AH12+'Model Inputs'!$F$66</f>
        <v>160.46776095801769</v>
      </c>
      <c r="AI22" s="38">
        <f>AI12+'Model Inputs'!$F$66</f>
        <v>163.73206762916632</v>
      </c>
      <c r="AJ22" s="38">
        <f>AJ12+'Model Inputs'!$F$66</f>
        <v>167.06166043373793</v>
      </c>
      <c r="AK22" s="38">
        <f>AK12+'Model Inputs'!$F$66</f>
        <v>170.45784509440097</v>
      </c>
      <c r="AL22" s="38">
        <f>AL12+'Model Inputs'!$F$66</f>
        <v>173.92195344827726</v>
      </c>
      <c r="AM22" s="38">
        <f>AM12+'Model Inputs'!$F$66</f>
        <v>177.45534396923108</v>
      </c>
      <c r="AN22" s="38">
        <f>AN12+'Model Inputs'!$F$66</f>
        <v>181.05940230060398</v>
      </c>
      <c r="AO22" s="38">
        <f>AO12+'Model Inputs'!$F$66</f>
        <v>184.73554179860434</v>
      </c>
      <c r="AP22" s="38">
        <f>AP12+'Model Inputs'!$F$66</f>
        <v>188.48520408656472</v>
      </c>
      <c r="AQ22" s="38">
        <f>AQ12+'Model Inputs'!$F$66</f>
        <v>192.3098596202843</v>
      </c>
      <c r="AR22" s="38">
        <f>AR12+'Model Inputs'!$F$66</f>
        <v>196.21100826467827</v>
      </c>
      <c r="AS22" s="38">
        <f>AS12+'Model Inputs'!$F$66</f>
        <v>200.19017988196012</v>
      </c>
      <c r="AT22" s="38">
        <f>AT12+'Model Inputs'!$F$66</f>
        <v>204.2489349315876</v>
      </c>
      <c r="AU22" s="38">
        <f>AU12+'Model Inputs'!$F$66</f>
        <v>208.38886508220764</v>
      </c>
      <c r="AV22" s="38">
        <f>AV12+'Model Inputs'!$F$66</f>
        <v>212.61159383584007</v>
      </c>
      <c r="AW22" s="38">
        <f>AW12+'Model Inputs'!$F$66</f>
        <v>216.91877716454516</v>
      </c>
      <c r="AX22" s="38">
        <f>AX12+'Model Inputs'!$F$66</f>
        <v>221.31210415982434</v>
      </c>
      <c r="AY22" s="38">
        <f>AY12+'Model Inputs'!$F$66</f>
        <v>225.7932976950091</v>
      </c>
      <c r="AZ22" s="38">
        <f>AZ12+'Model Inputs'!$F$66</f>
        <v>230.36411510089758</v>
      </c>
      <c r="BA22" s="38">
        <f>BA12+'Model Inputs'!$F$66</f>
        <v>235.0263488549038</v>
      </c>
      <c r="BB22" s="38">
        <f>BB12+'Model Inputs'!$F$66</f>
        <v>239.78182728399017</v>
      </c>
      <c r="BC22" s="38">
        <f>BC12+'Model Inputs'!$F$66</f>
        <v>244.63241528165827</v>
      </c>
      <c r="BD22" s="38">
        <f>BD12+'Model Inputs'!$F$66</f>
        <v>249.58001503927971</v>
      </c>
      <c r="BE22" s="38">
        <f>BE12+'Model Inputs'!$F$66</f>
        <v>254.62656679205358</v>
      </c>
      <c r="BF22" s="38">
        <f>BF12+'Model Inputs'!$F$66</f>
        <v>259.7740495798829</v>
      </c>
      <c r="BG22" s="38">
        <f>BG12+'Model Inputs'!$F$66</f>
        <v>265.02448202346886</v>
      </c>
      <c r="BH22" s="38">
        <f>BH12+'Model Inputs'!$F$66</f>
        <v>270.37992311592654</v>
      </c>
      <c r="BI22" s="38">
        <f>BI12+'Model Inputs'!$F$66</f>
        <v>275.84247303023335</v>
      </c>
      <c r="BJ22" s="38">
        <f>BJ12+'Model Inputs'!$F$66</f>
        <v>281.4142739428263</v>
      </c>
      <c r="BK22" s="38">
        <f>BK12+'Model Inputs'!$F$66</f>
        <v>287.09751087367113</v>
      </c>
      <c r="BL22" s="38">
        <f>BL12+'Model Inputs'!$F$66</f>
        <v>292.89441254313283</v>
      </c>
      <c r="BM22" s="38">
        <f>BM12+'Model Inputs'!$F$66</f>
        <v>298.80725224598382</v>
      </c>
      <c r="BN22" s="38">
        <f>BN12+'Model Inputs'!$F$66</f>
        <v>304.83834874289175</v>
      </c>
      <c r="BO22" s="38">
        <f>BO12+'Model Inputs'!$F$66</f>
        <v>310.99006716973781</v>
      </c>
    </row>
    <row r="23" spans="1:67" ht="15" customHeight="1" x14ac:dyDescent="0.2">
      <c r="A23" s="14" t="s">
        <v>194</v>
      </c>
      <c r="B23" s="22"/>
      <c r="C23" s="38">
        <f>C13*'Model Inputs'!$F$67</f>
        <v>58.570186225553336</v>
      </c>
      <c r="D23" s="38">
        <f>D13*'Model Inputs'!$F$67</f>
        <v>58.200541629620531</v>
      </c>
      <c r="E23" s="38">
        <f>E13*'Model Inputs'!$F$67</f>
        <v>58.0943304178139</v>
      </c>
      <c r="F23" s="38">
        <f>F13*'Model Inputs'!$F$67</f>
        <v>57.450337101315753</v>
      </c>
      <c r="G23" s="38">
        <f>G13*'Model Inputs'!$F$67</f>
        <v>58.6401914194171</v>
      </c>
      <c r="H23" s="38">
        <f>H13*'Model Inputs'!$F$67</f>
        <v>59.812995247805432</v>
      </c>
      <c r="I23" s="38">
        <f>I13*'Model Inputs'!$F$67</f>
        <v>61.00925515276154</v>
      </c>
      <c r="J23" s="38">
        <f>J13*'Model Inputs'!$F$67</f>
        <v>62.229440255816769</v>
      </c>
      <c r="K23" s="38">
        <f>K13*'Model Inputs'!$F$67</f>
        <v>63.474029060933105</v>
      </c>
      <c r="L23" s="38">
        <f>L13*'Model Inputs'!$F$67</f>
        <v>64.743509642151778</v>
      </c>
      <c r="M23" s="38">
        <f>M13*'Model Inputs'!$F$67</f>
        <v>66.038379834994814</v>
      </c>
      <c r="N23" s="38">
        <f>N13*'Model Inputs'!$F$67</f>
        <v>67.359147431694709</v>
      </c>
      <c r="O23" s="38">
        <f>O13*'Model Inputs'!$F$67</f>
        <v>68.706330380328609</v>
      </c>
      <c r="P23" s="38">
        <f>P13*'Model Inputs'!$F$67</f>
        <v>70.080456987935179</v>
      </c>
      <c r="Q23" s="38">
        <f>Q13*'Model Inputs'!$F$67</f>
        <v>71.482066127693884</v>
      </c>
      <c r="R23" s="38">
        <f>R13*'Model Inputs'!$F$67</f>
        <v>72.911707450247761</v>
      </c>
      <c r="S23" s="38">
        <f>S13*'Model Inputs'!$F$67</f>
        <v>74.369941599252726</v>
      </c>
      <c r="T23" s="38">
        <f>T13*'Model Inputs'!$F$67</f>
        <v>75.857340431237773</v>
      </c>
      <c r="U23" s="38">
        <f>U13*'Model Inputs'!$F$67</f>
        <v>77.374487239862532</v>
      </c>
      <c r="V23" s="38">
        <f>V13*'Model Inputs'!$F$67</f>
        <v>78.921976984659793</v>
      </c>
      <c r="W23" s="38">
        <f>W13*'Model Inputs'!$F$67</f>
        <v>80.500416524352985</v>
      </c>
      <c r="X23" s="38">
        <f>X13*'Model Inputs'!$F$67</f>
        <v>82.110424854840034</v>
      </c>
      <c r="Y23" s="38">
        <f>Y13*'Model Inputs'!$F$67</f>
        <v>83.752633351936851</v>
      </c>
      <c r="Z23" s="38">
        <f>Z13*'Model Inputs'!$F$67</f>
        <v>85.427686018975592</v>
      </c>
      <c r="AA23" s="38">
        <f>AA13*'Model Inputs'!$F$67</f>
        <v>87.136239739355105</v>
      </c>
      <c r="AB23" s="38">
        <f>AB13*'Model Inputs'!$F$67</f>
        <v>88.878964534142213</v>
      </c>
      <c r="AC23" s="38">
        <f>AC13*'Model Inputs'!$F$67</f>
        <v>90.656543824825064</v>
      </c>
      <c r="AD23" s="38">
        <f>AD13*'Model Inputs'!$F$67</f>
        <v>92.46967470132158</v>
      </c>
      <c r="AE23" s="38">
        <f>AE13*'Model Inputs'!$F$67</f>
        <v>94.319068195348009</v>
      </c>
      <c r="AF23" s="38">
        <f>AF13*'Model Inputs'!$F$67</f>
        <v>96.205449559254973</v>
      </c>
      <c r="AG23" s="38">
        <f>AG13*'Model Inputs'!$F$67</f>
        <v>98.129558550440066</v>
      </c>
      <c r="AH23" s="38">
        <f>AH13*'Model Inputs'!$F$67</f>
        <v>100.09214972144888</v>
      </c>
      <c r="AI23" s="38">
        <f>AI13*'Model Inputs'!$F$67</f>
        <v>102.09399271587786</v>
      </c>
      <c r="AJ23" s="38">
        <f>AJ13*'Model Inputs'!$F$67</f>
        <v>104.13587257019542</v>
      </c>
      <c r="AK23" s="38">
        <f>AK13*'Model Inputs'!$F$67</f>
        <v>106.21859002159933</v>
      </c>
      <c r="AL23" s="38">
        <f>AL13*'Model Inputs'!$F$67</f>
        <v>108.3429618220313</v>
      </c>
      <c r="AM23" s="38">
        <f>AM13*'Model Inputs'!$F$67</f>
        <v>110.50982105847193</v>
      </c>
      <c r="AN23" s="38">
        <f>AN13*'Model Inputs'!$F$67</f>
        <v>112.72001747964136</v>
      </c>
      <c r="AO23" s="38">
        <f>AO13*'Model Inputs'!$F$67</f>
        <v>114.9744178292342</v>
      </c>
      <c r="AP23" s="38">
        <f>AP13*'Model Inputs'!$F$67</f>
        <v>117.27390618581887</v>
      </c>
      <c r="AQ23" s="38">
        <f>AQ13*'Model Inputs'!$F$67</f>
        <v>119.61938430953526</v>
      </c>
      <c r="AR23" s="38">
        <f>AR13*'Model Inputs'!$F$67</f>
        <v>122.01177199572597</v>
      </c>
      <c r="AS23" s="38">
        <f>AS13*'Model Inputs'!$F$67</f>
        <v>124.4520074356405</v>
      </c>
      <c r="AT23" s="38">
        <f>AT13*'Model Inputs'!$F$67</f>
        <v>126.9410475843533</v>
      </c>
      <c r="AU23" s="38">
        <f>AU13*'Model Inputs'!$F$67</f>
        <v>129.47986853604039</v>
      </c>
      <c r="AV23" s="38">
        <f>AV13*'Model Inputs'!$F$67</f>
        <v>132.0694659067612</v>
      </c>
      <c r="AW23" s="38">
        <f>AW13*'Model Inputs'!$F$67</f>
        <v>134.71085522489642</v>
      </c>
      <c r="AX23" s="38">
        <f>AX13*'Model Inputs'!$F$67</f>
        <v>137.40507232939436</v>
      </c>
      <c r="AY23" s="38">
        <f>AY13*'Model Inputs'!$F$67</f>
        <v>140.15317377598222</v>
      </c>
      <c r="AZ23" s="38">
        <f>AZ13*'Model Inputs'!$F$67</f>
        <v>142.95623725150188</v>
      </c>
      <c r="BA23" s="38">
        <f>BA13*'Model Inputs'!$F$67</f>
        <v>145.81536199653192</v>
      </c>
      <c r="BB23" s="38">
        <f>BB13*'Model Inputs'!$F$67</f>
        <v>148.73166923646258</v>
      </c>
      <c r="BC23" s="38">
        <f>BC13*'Model Inputs'!$F$67</f>
        <v>151.70630262119184</v>
      </c>
      <c r="BD23" s="38">
        <f>BD13*'Model Inputs'!$F$67</f>
        <v>154.74042867361567</v>
      </c>
      <c r="BE23" s="38">
        <f>BE13*'Model Inputs'!$F$67</f>
        <v>157.835237247088</v>
      </c>
      <c r="BF23" s="38">
        <f>BF13*'Model Inputs'!$F$67</f>
        <v>160.99194199202975</v>
      </c>
      <c r="BG23" s="38">
        <f>BG13*'Model Inputs'!$F$67</f>
        <v>164.21178083187036</v>
      </c>
      <c r="BH23" s="38">
        <f>BH13*'Model Inputs'!$F$67</f>
        <v>167.49601644850776</v>
      </c>
      <c r="BI23" s="38">
        <f>BI13*'Model Inputs'!$F$67</f>
        <v>170.84593677747793</v>
      </c>
      <c r="BJ23" s="38">
        <f>BJ13*'Model Inputs'!$F$67</f>
        <v>174.26285551302746</v>
      </c>
      <c r="BK23" s="38">
        <f>BK13*'Model Inputs'!$F$67</f>
        <v>177.74811262328802</v>
      </c>
      <c r="BL23" s="38">
        <f>BL13*'Model Inputs'!$F$67</f>
        <v>181.30307487575377</v>
      </c>
      <c r="BM23" s="38">
        <f>BM13*'Model Inputs'!$F$67</f>
        <v>184.92913637326885</v>
      </c>
      <c r="BN23" s="38">
        <f>BN13*'Model Inputs'!$F$67</f>
        <v>188.62771910073423</v>
      </c>
      <c r="BO23" s="38">
        <f>BO13*'Model Inputs'!$F$67</f>
        <v>192.4002734827489</v>
      </c>
    </row>
    <row r="24" spans="1:67" ht="15" customHeight="1" x14ac:dyDescent="0.2">
      <c r="A24" s="14" t="s">
        <v>195</v>
      </c>
      <c r="B24" s="22"/>
      <c r="C24" s="38">
        <f>C14+'Model Inputs'!$F$68</f>
        <v>2.2230943999999999</v>
      </c>
      <c r="D24" s="38">
        <f>D14+'Model Inputs'!$F$68</f>
        <v>2.8130943999999998</v>
      </c>
      <c r="E24" s="38">
        <f>E14+'Model Inputs'!$F$68</f>
        <v>3.1830943999999999</v>
      </c>
      <c r="F24" s="38">
        <f>F14+'Model Inputs'!$F$68</f>
        <v>3.4930943999999999</v>
      </c>
      <c r="G24" s="38">
        <f>G14+'Model Inputs'!$F$68</f>
        <v>3.5630943999999998</v>
      </c>
      <c r="H24" s="38">
        <f>H14+'Model Inputs'!$F$68</f>
        <v>3.6330944000000001</v>
      </c>
      <c r="I24" s="38">
        <f>I14+'Model Inputs'!$F$68</f>
        <v>3.7044944000000002</v>
      </c>
      <c r="J24" s="38">
        <f>J14+'Model Inputs'!$F$68</f>
        <v>3.7773224000000001</v>
      </c>
      <c r="K24" s="38">
        <f>K14+'Model Inputs'!$F$68</f>
        <v>3.8516069600000002</v>
      </c>
      <c r="L24" s="38">
        <f>L14+'Model Inputs'!$F$68</f>
        <v>3.9273772112000005</v>
      </c>
      <c r="M24" s="38">
        <f>M14+'Model Inputs'!$F$68</f>
        <v>4.0046628674240008</v>
      </c>
      <c r="N24" s="38">
        <f>N14+'Model Inputs'!$F$68</f>
        <v>4.0834942367724807</v>
      </c>
      <c r="O24" s="38">
        <f>O14+'Model Inputs'!$F$68</f>
        <v>4.1639022335079305</v>
      </c>
      <c r="P24" s="38">
        <f>P14+'Model Inputs'!$F$68</f>
        <v>4.2459183901780895</v>
      </c>
      <c r="Q24" s="38">
        <f>Q14+'Model Inputs'!$F$68</f>
        <v>4.3295748699816512</v>
      </c>
      <c r="R24" s="38">
        <f>R14+'Model Inputs'!$F$68</f>
        <v>4.4149044793812839</v>
      </c>
      <c r="S24" s="38">
        <f>S14+'Model Inputs'!$F$68</f>
        <v>4.50194068096891</v>
      </c>
      <c r="T24" s="38">
        <f>T14+'Model Inputs'!$F$68</f>
        <v>4.5907176065882886</v>
      </c>
      <c r="U24" s="38">
        <f>U14+'Model Inputs'!$F$68</f>
        <v>4.6812700707200543</v>
      </c>
      <c r="V24" s="38">
        <f>V14+'Model Inputs'!$F$68</f>
        <v>4.7736335841344557</v>
      </c>
      <c r="W24" s="38">
        <f>W14+'Model Inputs'!$F$68</f>
        <v>4.8678443678171446</v>
      </c>
      <c r="X24" s="38">
        <f>X14+'Model Inputs'!$F$68</f>
        <v>4.9639393671734879</v>
      </c>
      <c r="Y24" s="38">
        <f>Y14+'Model Inputs'!$F$68</f>
        <v>5.0619562665169582</v>
      </c>
      <c r="Z24" s="38">
        <f>Z14+'Model Inputs'!$F$68</f>
        <v>5.1619335038472975</v>
      </c>
      <c r="AA24" s="38">
        <f>AA14+'Model Inputs'!$F$68</f>
        <v>5.2639102859242435</v>
      </c>
      <c r="AB24" s="38">
        <f>AB14+'Model Inputs'!$F$68</f>
        <v>5.3679266036427284</v>
      </c>
      <c r="AC24" s="38">
        <f>AC14+'Model Inputs'!$F$68</f>
        <v>5.474023247715583</v>
      </c>
      <c r="AD24" s="38">
        <f>AD14+'Model Inputs'!$F$68</f>
        <v>5.5822418246698948</v>
      </c>
      <c r="AE24" s="38">
        <f>AE14+'Model Inputs'!$F$68</f>
        <v>5.6926247731632929</v>
      </c>
      <c r="AF24" s="38">
        <f>AF14+'Model Inputs'!$F$68</f>
        <v>5.8052153806265592</v>
      </c>
      <c r="AG24" s="38">
        <f>AG14+'Model Inputs'!$F$68</f>
        <v>5.9200578002390909</v>
      </c>
      <c r="AH24" s="38">
        <f>AH14+'Model Inputs'!$F$68</f>
        <v>6.0371970682438727</v>
      </c>
      <c r="AI24" s="38">
        <f>AI14+'Model Inputs'!$F$68</f>
        <v>6.1566791216087502</v>
      </c>
      <c r="AJ24" s="38">
        <f>AJ14+'Model Inputs'!$F$68</f>
        <v>6.2785508160409256</v>
      </c>
      <c r="AK24" s="38">
        <f>AK14+'Model Inputs'!$F$68</f>
        <v>6.4028599443617438</v>
      </c>
      <c r="AL24" s="38">
        <f>AL14+'Model Inputs'!$F$68</f>
        <v>6.5296552552489784</v>
      </c>
      <c r="AM24" s="38">
        <f>AM14+'Model Inputs'!$F$68</f>
        <v>6.6589864723539582</v>
      </c>
      <c r="AN24" s="38">
        <f>AN14+'Model Inputs'!$F$68</f>
        <v>6.7909043138010379</v>
      </c>
      <c r="AO24" s="38">
        <f>AO14+'Model Inputs'!$F$68</f>
        <v>6.9254605120770591</v>
      </c>
      <c r="AP24" s="38">
        <f>AP14+'Model Inputs'!$F$68</f>
        <v>7.0627078343186005</v>
      </c>
      <c r="AQ24" s="38">
        <f>AQ14+'Model Inputs'!$F$68</f>
        <v>7.2027001030049727</v>
      </c>
      <c r="AR24" s="38">
        <f>AR14+'Model Inputs'!$F$68</f>
        <v>7.3454922170650718</v>
      </c>
      <c r="AS24" s="38">
        <f>AS14+'Model Inputs'!$F$68</f>
        <v>7.4911401734063734</v>
      </c>
      <c r="AT24" s="38">
        <f>AT14+'Model Inputs'!$F$68</f>
        <v>7.6397010888745012</v>
      </c>
      <c r="AU24" s="38">
        <f>AU14+'Model Inputs'!$F$68</f>
        <v>7.7912332226519911</v>
      </c>
      <c r="AV24" s="38">
        <f>AV14+'Model Inputs'!$F$68</f>
        <v>7.9457959991050311</v>
      </c>
      <c r="AW24" s="38">
        <f>AW14+'Model Inputs'!$F$68</f>
        <v>8.1034500310871316</v>
      </c>
      <c r="AX24" s="38">
        <f>AX14+'Model Inputs'!$F$68</f>
        <v>8.2642571437088748</v>
      </c>
      <c r="AY24" s="38">
        <f>AY14+'Model Inputs'!$F$68</f>
        <v>8.4282803985830519</v>
      </c>
      <c r="AZ24" s="38">
        <f>AZ14+'Model Inputs'!$F$68</f>
        <v>8.595584118554715</v>
      </c>
      <c r="BA24" s="38">
        <f>BA14+'Model Inputs'!$F$68</f>
        <v>8.7662339129258093</v>
      </c>
      <c r="BB24" s="38">
        <f>BB14+'Model Inputs'!$F$68</f>
        <v>8.9402967031843232</v>
      </c>
      <c r="BC24" s="38">
        <f>BC14+'Model Inputs'!$F$68</f>
        <v>9.1178407492480105</v>
      </c>
      <c r="BD24" s="38">
        <f>BD14+'Model Inputs'!$F$68</f>
        <v>9.298935676232972</v>
      </c>
      <c r="BE24" s="38">
        <f>BE14+'Model Inputs'!$F$68</f>
        <v>9.4836525017576321</v>
      </c>
      <c r="BF24" s="38">
        <f>BF14+'Model Inputs'!$F$68</f>
        <v>9.6720636637927839</v>
      </c>
      <c r="BG24" s="38">
        <f>BG14+'Model Inputs'!$F$68</f>
        <v>9.8642430490686408</v>
      </c>
      <c r="BH24" s="38">
        <f>BH14+'Model Inputs'!$F$68</f>
        <v>10.060266022050012</v>
      </c>
      <c r="BI24" s="38">
        <f>BI14+'Model Inputs'!$F$68</f>
        <v>10.260209454491012</v>
      </c>
      <c r="BJ24" s="38">
        <f>BJ14+'Model Inputs'!$F$68</f>
        <v>10.464151755580833</v>
      </c>
      <c r="BK24" s="38">
        <f>BK14+'Model Inputs'!$F$68</f>
        <v>10.672172902692452</v>
      </c>
      <c r="BL24" s="38">
        <f>BL14+'Model Inputs'!$F$68</f>
        <v>10.884354472746299</v>
      </c>
      <c r="BM24" s="38">
        <f>BM14+'Model Inputs'!$F$68</f>
        <v>11.100779674201227</v>
      </c>
      <c r="BN24" s="38">
        <f>BN14+'Model Inputs'!$F$68</f>
        <v>11.321533379685253</v>
      </c>
      <c r="BO24" s="38">
        <f>BO14+'Model Inputs'!$F$68</f>
        <v>11.546702159278958</v>
      </c>
    </row>
    <row r="26" spans="1:67" ht="15" customHeight="1" x14ac:dyDescent="0.2">
      <c r="A26" s="29" t="s">
        <v>196</v>
      </c>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row>
    <row r="27" spans="1:67" ht="15" customHeight="1" x14ac:dyDescent="0.2">
      <c r="A27" s="14" t="s">
        <v>197</v>
      </c>
      <c r="B27" s="61">
        <f t="shared" ref="B27:B35" si="2">SUM(C27:BO27)</f>
        <v>308.99999999999994</v>
      </c>
      <c r="C27" s="62">
        <f>'Model Inputs'!$F$21/'Model Inputs'!$G$34*MIN(1,MAX(0,'Model Inputs'!$G$34-(C$5-1)))</f>
        <v>14.226891323780498</v>
      </c>
      <c r="D27" s="62">
        <f>'Model Inputs'!$F$21/'Model Inputs'!$G$34*MIN(1,MAX(0,'Model Inputs'!$G$34-(D$5-1)))</f>
        <v>14.226891323780498</v>
      </c>
      <c r="E27" s="62">
        <f>'Model Inputs'!$F$21/'Model Inputs'!$G$34*MIN(1,MAX(0,'Model Inputs'!$G$34-(E$5-1)))</f>
        <v>14.226891323780498</v>
      </c>
      <c r="F27" s="62">
        <f>'Model Inputs'!$F$21/'Model Inputs'!$G$34*MIN(1,MAX(0,'Model Inputs'!$G$34-(F$5-1)))</f>
        <v>14.226891323780498</v>
      </c>
      <c r="G27" s="62">
        <f>'Model Inputs'!$F$21/'Model Inputs'!$G$34*MIN(1,MAX(0,'Model Inputs'!$G$34-(G$5-1)))</f>
        <v>14.226891323780498</v>
      </c>
      <c r="H27" s="62">
        <f>'Model Inputs'!$F$21/'Model Inputs'!$G$34*MIN(1,MAX(0,'Model Inputs'!$G$34-(H$5-1)))</f>
        <v>14.226891323780498</v>
      </c>
      <c r="I27" s="62">
        <f>'Model Inputs'!$F$21/'Model Inputs'!$G$34*MIN(1,MAX(0,'Model Inputs'!$G$34-(I$5-1)))</f>
        <v>14.226891323780498</v>
      </c>
      <c r="J27" s="62">
        <f>'Model Inputs'!$F$21/'Model Inputs'!$G$34*MIN(1,MAX(0,'Model Inputs'!$G$34-(J$5-1)))</f>
        <v>14.226891323780498</v>
      </c>
      <c r="K27" s="62">
        <f>'Model Inputs'!$F$21/'Model Inputs'!$G$34*MIN(1,MAX(0,'Model Inputs'!$G$34-(K$5-1)))</f>
        <v>14.226891323780498</v>
      </c>
      <c r="L27" s="62">
        <f>'Model Inputs'!$F$21/'Model Inputs'!$G$34*MIN(1,MAX(0,'Model Inputs'!$G$34-(L$5-1)))</f>
        <v>14.226891323780498</v>
      </c>
      <c r="M27" s="62">
        <f>'Model Inputs'!$F$21/'Model Inputs'!$G$34*MIN(1,MAX(0,'Model Inputs'!$G$34-(M$5-1)))</f>
        <v>14.226891323780498</v>
      </c>
      <c r="N27" s="62">
        <f>'Model Inputs'!$F$21/'Model Inputs'!$G$34*MIN(1,MAX(0,'Model Inputs'!$G$34-(N$5-1)))</f>
        <v>14.226891323780498</v>
      </c>
      <c r="O27" s="62">
        <f>'Model Inputs'!$F$21/'Model Inputs'!$G$34*MIN(1,MAX(0,'Model Inputs'!$G$34-(O$5-1)))</f>
        <v>14.226891323780498</v>
      </c>
      <c r="P27" s="62">
        <f>'Model Inputs'!$F$21/'Model Inputs'!$G$34*MIN(1,MAX(0,'Model Inputs'!$G$34-(P$5-1)))</f>
        <v>14.226891323780498</v>
      </c>
      <c r="Q27" s="62">
        <f>'Model Inputs'!$F$21/'Model Inputs'!$G$34*MIN(1,MAX(0,'Model Inputs'!$G$34-(Q$5-1)))</f>
        <v>14.226891323780498</v>
      </c>
      <c r="R27" s="62">
        <f>'Model Inputs'!$F$21/'Model Inputs'!$G$34*MIN(1,MAX(0,'Model Inputs'!$G$34-(R$5-1)))</f>
        <v>14.226891323780498</v>
      </c>
      <c r="S27" s="62">
        <f>'Model Inputs'!$F$21/'Model Inputs'!$G$34*MIN(1,MAX(0,'Model Inputs'!$G$34-(S$5-1)))</f>
        <v>14.226891323780498</v>
      </c>
      <c r="T27" s="62">
        <f>'Model Inputs'!$F$21/'Model Inputs'!$G$34*MIN(1,MAX(0,'Model Inputs'!$G$34-(T$5-1)))</f>
        <v>14.226891323780498</v>
      </c>
      <c r="U27" s="62">
        <f>'Model Inputs'!$F$21/'Model Inputs'!$G$34*MIN(1,MAX(0,'Model Inputs'!$G$34-(U$5-1)))</f>
        <v>14.226891323780498</v>
      </c>
      <c r="V27" s="62">
        <f>'Model Inputs'!$F$21/'Model Inputs'!$G$34*MIN(1,MAX(0,'Model Inputs'!$G$34-(V$5-1)))</f>
        <v>14.226891323780498</v>
      </c>
      <c r="W27" s="62">
        <f>'Model Inputs'!$F$21/'Model Inputs'!$G$34*MIN(1,MAX(0,'Model Inputs'!$G$34-(W$5-1)))</f>
        <v>14.226891323780498</v>
      </c>
      <c r="X27" s="62">
        <f>'Model Inputs'!$F$21/'Model Inputs'!$G$34*MIN(1,MAX(0,'Model Inputs'!$G$34-(X$5-1)))</f>
        <v>10.235282200609531</v>
      </c>
      <c r="Y27" s="62">
        <f>'Model Inputs'!$F$21/'Model Inputs'!$G$34*MIN(1,MAX(0,'Model Inputs'!$G$34-(Y$5-1)))</f>
        <v>0</v>
      </c>
      <c r="Z27" s="62">
        <f>'Model Inputs'!$F$21/'Model Inputs'!$G$34*MIN(1,MAX(0,'Model Inputs'!$G$34-(Z$5-1)))</f>
        <v>0</v>
      </c>
      <c r="AA27" s="62">
        <f>'Model Inputs'!$F$21/'Model Inputs'!$G$34*MIN(1,MAX(0,'Model Inputs'!$G$34-(AA$5-1)))</f>
        <v>0</v>
      </c>
      <c r="AB27" s="62">
        <f>'Model Inputs'!$F$21/'Model Inputs'!$G$34*MIN(1,MAX(0,'Model Inputs'!$G$34-(AB$5-1)))</f>
        <v>0</v>
      </c>
      <c r="AC27" s="62">
        <f>'Model Inputs'!$F$21/'Model Inputs'!$G$34*MIN(1,MAX(0,'Model Inputs'!$G$34-(AC$5-1)))</f>
        <v>0</v>
      </c>
      <c r="AD27" s="62">
        <f>'Model Inputs'!$F$21/'Model Inputs'!$G$34*MIN(1,MAX(0,'Model Inputs'!$G$34-(AD$5-1)))</f>
        <v>0</v>
      </c>
      <c r="AE27" s="62">
        <f>'Model Inputs'!$F$21/'Model Inputs'!$G$34*MIN(1,MAX(0,'Model Inputs'!$G$34-(AE$5-1)))</f>
        <v>0</v>
      </c>
      <c r="AF27" s="62">
        <f>'Model Inputs'!$F$21/'Model Inputs'!$G$34*MIN(1,MAX(0,'Model Inputs'!$G$34-(AF$5-1)))</f>
        <v>0</v>
      </c>
      <c r="AG27" s="62">
        <f>'Model Inputs'!$F$21/'Model Inputs'!$G$34*MIN(1,MAX(0,'Model Inputs'!$G$34-(AG$5-1)))</f>
        <v>0</v>
      </c>
      <c r="AH27" s="62">
        <f>'Model Inputs'!$F$21/'Model Inputs'!$G$34*MIN(1,MAX(0,'Model Inputs'!$G$34-(AH$5-1)))</f>
        <v>0</v>
      </c>
      <c r="AI27" s="62">
        <f>'Model Inputs'!$F$21/'Model Inputs'!$G$34*MIN(1,MAX(0,'Model Inputs'!$G$34-(AI$5-1)))</f>
        <v>0</v>
      </c>
      <c r="AJ27" s="62">
        <f>'Model Inputs'!$F$21/'Model Inputs'!$G$34*MIN(1,MAX(0,'Model Inputs'!$G$34-(AJ$5-1)))</f>
        <v>0</v>
      </c>
      <c r="AK27" s="62">
        <f>'Model Inputs'!$F$21/'Model Inputs'!$G$34*MIN(1,MAX(0,'Model Inputs'!$G$34-(AK$5-1)))</f>
        <v>0</v>
      </c>
      <c r="AL27" s="62">
        <f>'Model Inputs'!$F$21/'Model Inputs'!$G$34*MIN(1,MAX(0,'Model Inputs'!$G$34-(AL$5-1)))</f>
        <v>0</v>
      </c>
      <c r="AM27" s="62">
        <f>'Model Inputs'!$F$21/'Model Inputs'!$G$34*MIN(1,MAX(0,'Model Inputs'!$G$34-(AM$5-1)))</f>
        <v>0</v>
      </c>
      <c r="AN27" s="62">
        <f>'Model Inputs'!$F$21/'Model Inputs'!$G$34*MIN(1,MAX(0,'Model Inputs'!$G$34-(AN$5-1)))</f>
        <v>0</v>
      </c>
      <c r="AO27" s="62">
        <f>'Model Inputs'!$F$21/'Model Inputs'!$G$34*MIN(1,MAX(0,'Model Inputs'!$G$34-(AO$5-1)))</f>
        <v>0</v>
      </c>
      <c r="AP27" s="62">
        <f>'Model Inputs'!$F$21/'Model Inputs'!$G$34*MIN(1,MAX(0,'Model Inputs'!$G$34-(AP$5-1)))</f>
        <v>0</v>
      </c>
      <c r="AQ27" s="62">
        <f>'Model Inputs'!$F$21/'Model Inputs'!$G$34*MIN(1,MAX(0,'Model Inputs'!$G$34-(AQ$5-1)))</f>
        <v>0</v>
      </c>
      <c r="AR27" s="62">
        <f>'Model Inputs'!$F$21/'Model Inputs'!$G$34*MIN(1,MAX(0,'Model Inputs'!$G$34-(AR$5-1)))</f>
        <v>0</v>
      </c>
      <c r="AS27" s="62">
        <f>'Model Inputs'!$F$21/'Model Inputs'!$G$34*MIN(1,MAX(0,'Model Inputs'!$G$34-(AS$5-1)))</f>
        <v>0</v>
      </c>
      <c r="AT27" s="62">
        <f>'Model Inputs'!$F$21/'Model Inputs'!$G$34*MIN(1,MAX(0,'Model Inputs'!$G$34-(AT$5-1)))</f>
        <v>0</v>
      </c>
      <c r="AU27" s="62">
        <f>'Model Inputs'!$F$21/'Model Inputs'!$G$34*MIN(1,MAX(0,'Model Inputs'!$G$34-(AU$5-1)))</f>
        <v>0</v>
      </c>
      <c r="AV27" s="62">
        <f>'Model Inputs'!$F$21/'Model Inputs'!$G$34*MIN(1,MAX(0,'Model Inputs'!$G$34-(AV$5-1)))</f>
        <v>0</v>
      </c>
      <c r="AW27" s="62">
        <f>'Model Inputs'!$F$21/'Model Inputs'!$G$34*MIN(1,MAX(0,'Model Inputs'!$G$34-(AW$5-1)))</f>
        <v>0</v>
      </c>
      <c r="AX27" s="62">
        <f>'Model Inputs'!$F$21/'Model Inputs'!$G$34*MIN(1,MAX(0,'Model Inputs'!$G$34-(AX$5-1)))</f>
        <v>0</v>
      </c>
      <c r="AY27" s="62">
        <f>'Model Inputs'!$F$21/'Model Inputs'!$G$34*MIN(1,MAX(0,'Model Inputs'!$G$34-(AY$5-1)))</f>
        <v>0</v>
      </c>
      <c r="AZ27" s="62">
        <f>'Model Inputs'!$F$21/'Model Inputs'!$G$34*MIN(1,MAX(0,'Model Inputs'!$G$34-(AZ$5-1)))</f>
        <v>0</v>
      </c>
      <c r="BA27" s="62">
        <f>'Model Inputs'!$F$21/'Model Inputs'!$G$34*MIN(1,MAX(0,'Model Inputs'!$G$34-(BA$5-1)))</f>
        <v>0</v>
      </c>
      <c r="BB27" s="62">
        <f>'Model Inputs'!$F$21/'Model Inputs'!$G$34*MIN(1,MAX(0,'Model Inputs'!$G$34-(BB$5-1)))</f>
        <v>0</v>
      </c>
      <c r="BC27" s="62">
        <f>'Model Inputs'!$F$21/'Model Inputs'!$G$34*MIN(1,MAX(0,'Model Inputs'!$G$34-(BC$5-1)))</f>
        <v>0</v>
      </c>
      <c r="BD27" s="62">
        <f>'Model Inputs'!$F$21/'Model Inputs'!$G$34*MIN(1,MAX(0,'Model Inputs'!$G$34-(BD$5-1)))</f>
        <v>0</v>
      </c>
      <c r="BE27" s="62">
        <f>'Model Inputs'!$F$21/'Model Inputs'!$G$34*MIN(1,MAX(0,'Model Inputs'!$G$34-(BE$5-1)))</f>
        <v>0</v>
      </c>
      <c r="BF27" s="62">
        <f>'Model Inputs'!$F$21/'Model Inputs'!$G$34*MIN(1,MAX(0,'Model Inputs'!$G$34-(BF$5-1)))</f>
        <v>0</v>
      </c>
      <c r="BG27" s="62">
        <f>'Model Inputs'!$F$21/'Model Inputs'!$G$34*MIN(1,MAX(0,'Model Inputs'!$G$34-(BG$5-1)))</f>
        <v>0</v>
      </c>
      <c r="BH27" s="62">
        <f>'Model Inputs'!$F$21/'Model Inputs'!$G$34*MIN(1,MAX(0,'Model Inputs'!$G$34-(BH$5-1)))</f>
        <v>0</v>
      </c>
      <c r="BI27" s="62">
        <f>'Model Inputs'!$F$21/'Model Inputs'!$G$34*MIN(1,MAX(0,'Model Inputs'!$G$34-(BI$5-1)))</f>
        <v>0</v>
      </c>
      <c r="BJ27" s="62">
        <f>'Model Inputs'!$F$21/'Model Inputs'!$G$34*MIN(1,MAX(0,'Model Inputs'!$G$34-(BJ$5-1)))</f>
        <v>0</v>
      </c>
      <c r="BK27" s="62">
        <f>'Model Inputs'!$F$21/'Model Inputs'!$G$34*MIN(1,MAX(0,'Model Inputs'!$G$34-(BK$5-1)))</f>
        <v>0</v>
      </c>
      <c r="BL27" s="62">
        <f>'Model Inputs'!$F$21/'Model Inputs'!$G$34*MIN(1,MAX(0,'Model Inputs'!$G$34-(BL$5-1)))</f>
        <v>0</v>
      </c>
      <c r="BM27" s="62">
        <f>'Model Inputs'!$F$21/'Model Inputs'!$G$34*MIN(1,MAX(0,'Model Inputs'!$G$34-(BM$5-1)))</f>
        <v>0</v>
      </c>
      <c r="BN27" s="62">
        <f>'Model Inputs'!$F$21/'Model Inputs'!$G$34*MIN(1,MAX(0,'Model Inputs'!$G$34-(BN$5-1)))</f>
        <v>0</v>
      </c>
      <c r="BO27" s="62">
        <f>'Model Inputs'!$F$21/'Model Inputs'!$G$34*MIN(1,MAX(0,'Model Inputs'!$G$34-(BO$5-1)))</f>
        <v>0</v>
      </c>
    </row>
    <row r="28" spans="1:67" ht="15" customHeight="1" x14ac:dyDescent="0.2">
      <c r="A28" s="14" t="s">
        <v>198</v>
      </c>
      <c r="B28" s="61">
        <f t="shared" si="2"/>
        <v>228.00000000000006</v>
      </c>
      <c r="C28" s="62">
        <f>'Model Inputs'!$F$22/'Model Inputs'!$G$34*MIN(1,MAX(0,'Model Inputs'!$G$34-(C$5-1)))</f>
        <v>10.497512044731241</v>
      </c>
      <c r="D28" s="62">
        <f>'Model Inputs'!$F$22/'Model Inputs'!$G$34*MIN(1,MAX(0,'Model Inputs'!$G$34-(D$5-1)))</f>
        <v>10.497512044731241</v>
      </c>
      <c r="E28" s="62">
        <f>'Model Inputs'!$F$22/'Model Inputs'!$G$34*MIN(1,MAX(0,'Model Inputs'!$G$34-(E$5-1)))</f>
        <v>10.497512044731241</v>
      </c>
      <c r="F28" s="62">
        <f>'Model Inputs'!$F$22/'Model Inputs'!$G$34*MIN(1,MAX(0,'Model Inputs'!$G$34-(F$5-1)))</f>
        <v>10.497512044731241</v>
      </c>
      <c r="G28" s="62">
        <f>'Model Inputs'!$F$22/'Model Inputs'!$G$34*MIN(1,MAX(0,'Model Inputs'!$G$34-(G$5-1)))</f>
        <v>10.497512044731241</v>
      </c>
      <c r="H28" s="62">
        <f>'Model Inputs'!$F$22/'Model Inputs'!$G$34*MIN(1,MAX(0,'Model Inputs'!$G$34-(H$5-1)))</f>
        <v>10.497512044731241</v>
      </c>
      <c r="I28" s="62">
        <f>'Model Inputs'!$F$22/'Model Inputs'!$G$34*MIN(1,MAX(0,'Model Inputs'!$G$34-(I$5-1)))</f>
        <v>10.497512044731241</v>
      </c>
      <c r="J28" s="62">
        <f>'Model Inputs'!$F$22/'Model Inputs'!$G$34*MIN(1,MAX(0,'Model Inputs'!$G$34-(J$5-1)))</f>
        <v>10.497512044731241</v>
      </c>
      <c r="K28" s="62">
        <f>'Model Inputs'!$F$22/'Model Inputs'!$G$34*MIN(1,MAX(0,'Model Inputs'!$G$34-(K$5-1)))</f>
        <v>10.497512044731241</v>
      </c>
      <c r="L28" s="62">
        <f>'Model Inputs'!$F$22/'Model Inputs'!$G$34*MIN(1,MAX(0,'Model Inputs'!$G$34-(L$5-1)))</f>
        <v>10.497512044731241</v>
      </c>
      <c r="M28" s="62">
        <f>'Model Inputs'!$F$22/'Model Inputs'!$G$34*MIN(1,MAX(0,'Model Inputs'!$G$34-(M$5-1)))</f>
        <v>10.497512044731241</v>
      </c>
      <c r="N28" s="62">
        <f>'Model Inputs'!$F$22/'Model Inputs'!$G$34*MIN(1,MAX(0,'Model Inputs'!$G$34-(N$5-1)))</f>
        <v>10.497512044731241</v>
      </c>
      <c r="O28" s="62">
        <f>'Model Inputs'!$F$22/'Model Inputs'!$G$34*MIN(1,MAX(0,'Model Inputs'!$G$34-(O$5-1)))</f>
        <v>10.497512044731241</v>
      </c>
      <c r="P28" s="62">
        <f>'Model Inputs'!$F$22/'Model Inputs'!$G$34*MIN(1,MAX(0,'Model Inputs'!$G$34-(P$5-1)))</f>
        <v>10.497512044731241</v>
      </c>
      <c r="Q28" s="62">
        <f>'Model Inputs'!$F$22/'Model Inputs'!$G$34*MIN(1,MAX(0,'Model Inputs'!$G$34-(Q$5-1)))</f>
        <v>10.497512044731241</v>
      </c>
      <c r="R28" s="62">
        <f>'Model Inputs'!$F$22/'Model Inputs'!$G$34*MIN(1,MAX(0,'Model Inputs'!$G$34-(R$5-1)))</f>
        <v>10.497512044731241</v>
      </c>
      <c r="S28" s="62">
        <f>'Model Inputs'!$F$22/'Model Inputs'!$G$34*MIN(1,MAX(0,'Model Inputs'!$G$34-(S$5-1)))</f>
        <v>10.497512044731241</v>
      </c>
      <c r="T28" s="62">
        <f>'Model Inputs'!$F$22/'Model Inputs'!$G$34*MIN(1,MAX(0,'Model Inputs'!$G$34-(T$5-1)))</f>
        <v>10.497512044731241</v>
      </c>
      <c r="U28" s="62">
        <f>'Model Inputs'!$F$22/'Model Inputs'!$G$34*MIN(1,MAX(0,'Model Inputs'!$G$34-(U$5-1)))</f>
        <v>10.497512044731241</v>
      </c>
      <c r="V28" s="62">
        <f>'Model Inputs'!$F$22/'Model Inputs'!$G$34*MIN(1,MAX(0,'Model Inputs'!$G$34-(V$5-1)))</f>
        <v>10.497512044731241</v>
      </c>
      <c r="W28" s="62">
        <f>'Model Inputs'!$F$22/'Model Inputs'!$G$34*MIN(1,MAX(0,'Model Inputs'!$G$34-(W$5-1)))</f>
        <v>10.497512044731241</v>
      </c>
      <c r="X28" s="62">
        <f>'Model Inputs'!$F$22/'Model Inputs'!$G$34*MIN(1,MAX(0,'Model Inputs'!$G$34-(X$5-1)))</f>
        <v>7.5522470606439249</v>
      </c>
      <c r="Y28" s="62">
        <f>'Model Inputs'!$F$22/'Model Inputs'!$G$34*MIN(1,MAX(0,'Model Inputs'!$G$34-(Y$5-1)))</f>
        <v>0</v>
      </c>
      <c r="Z28" s="62">
        <f>'Model Inputs'!$F$22/'Model Inputs'!$G$34*MIN(1,MAX(0,'Model Inputs'!$G$34-(Z$5-1)))</f>
        <v>0</v>
      </c>
      <c r="AA28" s="62">
        <f>'Model Inputs'!$F$22/'Model Inputs'!$G$34*MIN(1,MAX(0,'Model Inputs'!$G$34-(AA$5-1)))</f>
        <v>0</v>
      </c>
      <c r="AB28" s="62">
        <f>'Model Inputs'!$F$22/'Model Inputs'!$G$34*MIN(1,MAX(0,'Model Inputs'!$G$34-(AB$5-1)))</f>
        <v>0</v>
      </c>
      <c r="AC28" s="62">
        <f>'Model Inputs'!$F$22/'Model Inputs'!$G$34*MIN(1,MAX(0,'Model Inputs'!$G$34-(AC$5-1)))</f>
        <v>0</v>
      </c>
      <c r="AD28" s="62">
        <f>'Model Inputs'!$F$22/'Model Inputs'!$G$34*MIN(1,MAX(0,'Model Inputs'!$G$34-(AD$5-1)))</f>
        <v>0</v>
      </c>
      <c r="AE28" s="62">
        <f>'Model Inputs'!$F$22/'Model Inputs'!$G$34*MIN(1,MAX(0,'Model Inputs'!$G$34-(AE$5-1)))</f>
        <v>0</v>
      </c>
      <c r="AF28" s="62">
        <f>'Model Inputs'!$F$22/'Model Inputs'!$G$34*MIN(1,MAX(0,'Model Inputs'!$G$34-(AF$5-1)))</f>
        <v>0</v>
      </c>
      <c r="AG28" s="62">
        <f>'Model Inputs'!$F$22/'Model Inputs'!$G$34*MIN(1,MAX(0,'Model Inputs'!$G$34-(AG$5-1)))</f>
        <v>0</v>
      </c>
      <c r="AH28" s="62">
        <f>'Model Inputs'!$F$22/'Model Inputs'!$G$34*MIN(1,MAX(0,'Model Inputs'!$G$34-(AH$5-1)))</f>
        <v>0</v>
      </c>
      <c r="AI28" s="62">
        <f>'Model Inputs'!$F$22/'Model Inputs'!$G$34*MIN(1,MAX(0,'Model Inputs'!$G$34-(AI$5-1)))</f>
        <v>0</v>
      </c>
      <c r="AJ28" s="62">
        <f>'Model Inputs'!$F$22/'Model Inputs'!$G$34*MIN(1,MAX(0,'Model Inputs'!$G$34-(AJ$5-1)))</f>
        <v>0</v>
      </c>
      <c r="AK28" s="62">
        <f>'Model Inputs'!$F$22/'Model Inputs'!$G$34*MIN(1,MAX(0,'Model Inputs'!$G$34-(AK$5-1)))</f>
        <v>0</v>
      </c>
      <c r="AL28" s="62">
        <f>'Model Inputs'!$F$22/'Model Inputs'!$G$34*MIN(1,MAX(0,'Model Inputs'!$G$34-(AL$5-1)))</f>
        <v>0</v>
      </c>
      <c r="AM28" s="62">
        <f>'Model Inputs'!$F$22/'Model Inputs'!$G$34*MIN(1,MAX(0,'Model Inputs'!$G$34-(AM$5-1)))</f>
        <v>0</v>
      </c>
      <c r="AN28" s="62">
        <f>'Model Inputs'!$F$22/'Model Inputs'!$G$34*MIN(1,MAX(0,'Model Inputs'!$G$34-(AN$5-1)))</f>
        <v>0</v>
      </c>
      <c r="AO28" s="62">
        <f>'Model Inputs'!$F$22/'Model Inputs'!$G$34*MIN(1,MAX(0,'Model Inputs'!$G$34-(AO$5-1)))</f>
        <v>0</v>
      </c>
      <c r="AP28" s="62">
        <f>'Model Inputs'!$F$22/'Model Inputs'!$G$34*MIN(1,MAX(0,'Model Inputs'!$G$34-(AP$5-1)))</f>
        <v>0</v>
      </c>
      <c r="AQ28" s="62">
        <f>'Model Inputs'!$F$22/'Model Inputs'!$G$34*MIN(1,MAX(0,'Model Inputs'!$G$34-(AQ$5-1)))</f>
        <v>0</v>
      </c>
      <c r="AR28" s="62">
        <f>'Model Inputs'!$F$22/'Model Inputs'!$G$34*MIN(1,MAX(0,'Model Inputs'!$G$34-(AR$5-1)))</f>
        <v>0</v>
      </c>
      <c r="AS28" s="62">
        <f>'Model Inputs'!$F$22/'Model Inputs'!$G$34*MIN(1,MAX(0,'Model Inputs'!$G$34-(AS$5-1)))</f>
        <v>0</v>
      </c>
      <c r="AT28" s="62">
        <f>'Model Inputs'!$F$22/'Model Inputs'!$G$34*MIN(1,MAX(0,'Model Inputs'!$G$34-(AT$5-1)))</f>
        <v>0</v>
      </c>
      <c r="AU28" s="62">
        <f>'Model Inputs'!$F$22/'Model Inputs'!$G$34*MIN(1,MAX(0,'Model Inputs'!$G$34-(AU$5-1)))</f>
        <v>0</v>
      </c>
      <c r="AV28" s="62">
        <f>'Model Inputs'!$F$22/'Model Inputs'!$G$34*MIN(1,MAX(0,'Model Inputs'!$G$34-(AV$5-1)))</f>
        <v>0</v>
      </c>
      <c r="AW28" s="62">
        <f>'Model Inputs'!$F$22/'Model Inputs'!$G$34*MIN(1,MAX(0,'Model Inputs'!$G$34-(AW$5-1)))</f>
        <v>0</v>
      </c>
      <c r="AX28" s="62">
        <f>'Model Inputs'!$F$22/'Model Inputs'!$G$34*MIN(1,MAX(0,'Model Inputs'!$G$34-(AX$5-1)))</f>
        <v>0</v>
      </c>
      <c r="AY28" s="62">
        <f>'Model Inputs'!$F$22/'Model Inputs'!$G$34*MIN(1,MAX(0,'Model Inputs'!$G$34-(AY$5-1)))</f>
        <v>0</v>
      </c>
      <c r="AZ28" s="62">
        <f>'Model Inputs'!$F$22/'Model Inputs'!$G$34*MIN(1,MAX(0,'Model Inputs'!$G$34-(AZ$5-1)))</f>
        <v>0</v>
      </c>
      <c r="BA28" s="62">
        <f>'Model Inputs'!$F$22/'Model Inputs'!$G$34*MIN(1,MAX(0,'Model Inputs'!$G$34-(BA$5-1)))</f>
        <v>0</v>
      </c>
      <c r="BB28" s="62">
        <f>'Model Inputs'!$F$22/'Model Inputs'!$G$34*MIN(1,MAX(0,'Model Inputs'!$G$34-(BB$5-1)))</f>
        <v>0</v>
      </c>
      <c r="BC28" s="62">
        <f>'Model Inputs'!$F$22/'Model Inputs'!$G$34*MIN(1,MAX(0,'Model Inputs'!$G$34-(BC$5-1)))</f>
        <v>0</v>
      </c>
      <c r="BD28" s="62">
        <f>'Model Inputs'!$F$22/'Model Inputs'!$G$34*MIN(1,MAX(0,'Model Inputs'!$G$34-(BD$5-1)))</f>
        <v>0</v>
      </c>
      <c r="BE28" s="62">
        <f>'Model Inputs'!$F$22/'Model Inputs'!$G$34*MIN(1,MAX(0,'Model Inputs'!$G$34-(BE$5-1)))</f>
        <v>0</v>
      </c>
      <c r="BF28" s="62">
        <f>'Model Inputs'!$F$22/'Model Inputs'!$G$34*MIN(1,MAX(0,'Model Inputs'!$G$34-(BF$5-1)))</f>
        <v>0</v>
      </c>
      <c r="BG28" s="62">
        <f>'Model Inputs'!$F$22/'Model Inputs'!$G$34*MIN(1,MAX(0,'Model Inputs'!$G$34-(BG$5-1)))</f>
        <v>0</v>
      </c>
      <c r="BH28" s="62">
        <f>'Model Inputs'!$F$22/'Model Inputs'!$G$34*MIN(1,MAX(0,'Model Inputs'!$G$34-(BH$5-1)))</f>
        <v>0</v>
      </c>
      <c r="BI28" s="62">
        <f>'Model Inputs'!$F$22/'Model Inputs'!$G$34*MIN(1,MAX(0,'Model Inputs'!$G$34-(BI$5-1)))</f>
        <v>0</v>
      </c>
      <c r="BJ28" s="62">
        <f>'Model Inputs'!$F$22/'Model Inputs'!$G$34*MIN(1,MAX(0,'Model Inputs'!$G$34-(BJ$5-1)))</f>
        <v>0</v>
      </c>
      <c r="BK28" s="62">
        <f>'Model Inputs'!$F$22/'Model Inputs'!$G$34*MIN(1,MAX(0,'Model Inputs'!$G$34-(BK$5-1)))</f>
        <v>0</v>
      </c>
      <c r="BL28" s="62">
        <f>'Model Inputs'!$F$22/'Model Inputs'!$G$34*MIN(1,MAX(0,'Model Inputs'!$G$34-(BL$5-1)))</f>
        <v>0</v>
      </c>
      <c r="BM28" s="62">
        <f>'Model Inputs'!$F$22/'Model Inputs'!$G$34*MIN(1,MAX(0,'Model Inputs'!$G$34-(BM$5-1)))</f>
        <v>0</v>
      </c>
      <c r="BN28" s="62">
        <f>'Model Inputs'!$F$22/'Model Inputs'!$G$34*MIN(1,MAX(0,'Model Inputs'!$G$34-(BN$5-1)))</f>
        <v>0</v>
      </c>
      <c r="BO28" s="62">
        <f>'Model Inputs'!$F$22/'Model Inputs'!$G$34*MIN(1,MAX(0,'Model Inputs'!$G$34-(BO$5-1)))</f>
        <v>0</v>
      </c>
    </row>
    <row r="29" spans="1:67" ht="15" customHeight="1" x14ac:dyDescent="0.2">
      <c r="A29" s="14" t="s">
        <v>199</v>
      </c>
      <c r="B29" s="61">
        <f t="shared" si="2"/>
        <v>242.99999999999991</v>
      </c>
      <c r="C29" s="62">
        <f>'Model Inputs'!$F$23/'Model Inputs'!$G$34*MIN(1,MAX(0,'Model Inputs'!$G$34-(C$5-1)))</f>
        <v>11.188137837147771</v>
      </c>
      <c r="D29" s="62">
        <f>'Model Inputs'!$F$23/'Model Inputs'!$G$34*MIN(1,MAX(0,'Model Inputs'!$G$34-(D$5-1)))</f>
        <v>11.188137837147771</v>
      </c>
      <c r="E29" s="62">
        <f>'Model Inputs'!$F$23/'Model Inputs'!$G$34*MIN(1,MAX(0,'Model Inputs'!$G$34-(E$5-1)))</f>
        <v>11.188137837147771</v>
      </c>
      <c r="F29" s="62">
        <f>'Model Inputs'!$F$23/'Model Inputs'!$G$34*MIN(1,MAX(0,'Model Inputs'!$G$34-(F$5-1)))</f>
        <v>11.188137837147771</v>
      </c>
      <c r="G29" s="62">
        <f>'Model Inputs'!$F$23/'Model Inputs'!$G$34*MIN(1,MAX(0,'Model Inputs'!$G$34-(G$5-1)))</f>
        <v>11.188137837147771</v>
      </c>
      <c r="H29" s="62">
        <f>'Model Inputs'!$F$23/'Model Inputs'!$G$34*MIN(1,MAX(0,'Model Inputs'!$G$34-(H$5-1)))</f>
        <v>11.188137837147771</v>
      </c>
      <c r="I29" s="62">
        <f>'Model Inputs'!$F$23/'Model Inputs'!$G$34*MIN(1,MAX(0,'Model Inputs'!$G$34-(I$5-1)))</f>
        <v>11.188137837147771</v>
      </c>
      <c r="J29" s="62">
        <f>'Model Inputs'!$F$23/'Model Inputs'!$G$34*MIN(1,MAX(0,'Model Inputs'!$G$34-(J$5-1)))</f>
        <v>11.188137837147771</v>
      </c>
      <c r="K29" s="62">
        <f>'Model Inputs'!$F$23/'Model Inputs'!$G$34*MIN(1,MAX(0,'Model Inputs'!$G$34-(K$5-1)))</f>
        <v>11.188137837147771</v>
      </c>
      <c r="L29" s="62">
        <f>'Model Inputs'!$F$23/'Model Inputs'!$G$34*MIN(1,MAX(0,'Model Inputs'!$G$34-(L$5-1)))</f>
        <v>11.188137837147771</v>
      </c>
      <c r="M29" s="62">
        <f>'Model Inputs'!$F$23/'Model Inputs'!$G$34*MIN(1,MAX(0,'Model Inputs'!$G$34-(M$5-1)))</f>
        <v>11.188137837147771</v>
      </c>
      <c r="N29" s="62">
        <f>'Model Inputs'!$F$23/'Model Inputs'!$G$34*MIN(1,MAX(0,'Model Inputs'!$G$34-(N$5-1)))</f>
        <v>11.188137837147771</v>
      </c>
      <c r="O29" s="62">
        <f>'Model Inputs'!$F$23/'Model Inputs'!$G$34*MIN(1,MAX(0,'Model Inputs'!$G$34-(O$5-1)))</f>
        <v>11.188137837147771</v>
      </c>
      <c r="P29" s="62">
        <f>'Model Inputs'!$F$23/'Model Inputs'!$G$34*MIN(1,MAX(0,'Model Inputs'!$G$34-(P$5-1)))</f>
        <v>11.188137837147771</v>
      </c>
      <c r="Q29" s="62">
        <f>'Model Inputs'!$F$23/'Model Inputs'!$G$34*MIN(1,MAX(0,'Model Inputs'!$G$34-(Q$5-1)))</f>
        <v>11.188137837147771</v>
      </c>
      <c r="R29" s="62">
        <f>'Model Inputs'!$F$23/'Model Inputs'!$G$34*MIN(1,MAX(0,'Model Inputs'!$G$34-(R$5-1)))</f>
        <v>11.188137837147771</v>
      </c>
      <c r="S29" s="62">
        <f>'Model Inputs'!$F$23/'Model Inputs'!$G$34*MIN(1,MAX(0,'Model Inputs'!$G$34-(S$5-1)))</f>
        <v>11.188137837147771</v>
      </c>
      <c r="T29" s="62">
        <f>'Model Inputs'!$F$23/'Model Inputs'!$G$34*MIN(1,MAX(0,'Model Inputs'!$G$34-(T$5-1)))</f>
        <v>11.188137837147771</v>
      </c>
      <c r="U29" s="62">
        <f>'Model Inputs'!$F$23/'Model Inputs'!$G$34*MIN(1,MAX(0,'Model Inputs'!$G$34-(U$5-1)))</f>
        <v>11.188137837147771</v>
      </c>
      <c r="V29" s="62">
        <f>'Model Inputs'!$F$23/'Model Inputs'!$G$34*MIN(1,MAX(0,'Model Inputs'!$G$34-(V$5-1)))</f>
        <v>11.188137837147771</v>
      </c>
      <c r="W29" s="62">
        <f>'Model Inputs'!$F$23/'Model Inputs'!$G$34*MIN(1,MAX(0,'Model Inputs'!$G$34-(W$5-1)))</f>
        <v>11.188137837147771</v>
      </c>
      <c r="X29" s="62">
        <f>'Model Inputs'!$F$23/'Model Inputs'!$G$34*MIN(1,MAX(0,'Model Inputs'!$G$34-(X$5-1)))</f>
        <v>8.0491054198968151</v>
      </c>
      <c r="Y29" s="62">
        <f>'Model Inputs'!$F$23/'Model Inputs'!$G$34*MIN(1,MAX(0,'Model Inputs'!$G$34-(Y$5-1)))</f>
        <v>0</v>
      </c>
      <c r="Z29" s="62">
        <f>'Model Inputs'!$F$23/'Model Inputs'!$G$34*MIN(1,MAX(0,'Model Inputs'!$G$34-(Z$5-1)))</f>
        <v>0</v>
      </c>
      <c r="AA29" s="62">
        <f>'Model Inputs'!$F$23/'Model Inputs'!$G$34*MIN(1,MAX(0,'Model Inputs'!$G$34-(AA$5-1)))</f>
        <v>0</v>
      </c>
      <c r="AB29" s="62">
        <f>'Model Inputs'!$F$23/'Model Inputs'!$G$34*MIN(1,MAX(0,'Model Inputs'!$G$34-(AB$5-1)))</f>
        <v>0</v>
      </c>
      <c r="AC29" s="62">
        <f>'Model Inputs'!$F$23/'Model Inputs'!$G$34*MIN(1,MAX(0,'Model Inputs'!$G$34-(AC$5-1)))</f>
        <v>0</v>
      </c>
      <c r="AD29" s="62">
        <f>'Model Inputs'!$F$23/'Model Inputs'!$G$34*MIN(1,MAX(0,'Model Inputs'!$G$34-(AD$5-1)))</f>
        <v>0</v>
      </c>
      <c r="AE29" s="62">
        <f>'Model Inputs'!$F$23/'Model Inputs'!$G$34*MIN(1,MAX(0,'Model Inputs'!$G$34-(AE$5-1)))</f>
        <v>0</v>
      </c>
      <c r="AF29" s="62">
        <f>'Model Inputs'!$F$23/'Model Inputs'!$G$34*MIN(1,MAX(0,'Model Inputs'!$G$34-(AF$5-1)))</f>
        <v>0</v>
      </c>
      <c r="AG29" s="62">
        <f>'Model Inputs'!$F$23/'Model Inputs'!$G$34*MIN(1,MAX(0,'Model Inputs'!$G$34-(AG$5-1)))</f>
        <v>0</v>
      </c>
      <c r="AH29" s="62">
        <f>'Model Inputs'!$F$23/'Model Inputs'!$G$34*MIN(1,MAX(0,'Model Inputs'!$G$34-(AH$5-1)))</f>
        <v>0</v>
      </c>
      <c r="AI29" s="62">
        <f>'Model Inputs'!$F$23/'Model Inputs'!$G$34*MIN(1,MAX(0,'Model Inputs'!$G$34-(AI$5-1)))</f>
        <v>0</v>
      </c>
      <c r="AJ29" s="62">
        <f>'Model Inputs'!$F$23/'Model Inputs'!$G$34*MIN(1,MAX(0,'Model Inputs'!$G$34-(AJ$5-1)))</f>
        <v>0</v>
      </c>
      <c r="AK29" s="62">
        <f>'Model Inputs'!$F$23/'Model Inputs'!$G$34*MIN(1,MAX(0,'Model Inputs'!$G$34-(AK$5-1)))</f>
        <v>0</v>
      </c>
      <c r="AL29" s="62">
        <f>'Model Inputs'!$F$23/'Model Inputs'!$G$34*MIN(1,MAX(0,'Model Inputs'!$G$34-(AL$5-1)))</f>
        <v>0</v>
      </c>
      <c r="AM29" s="62">
        <f>'Model Inputs'!$F$23/'Model Inputs'!$G$34*MIN(1,MAX(0,'Model Inputs'!$G$34-(AM$5-1)))</f>
        <v>0</v>
      </c>
      <c r="AN29" s="62">
        <f>'Model Inputs'!$F$23/'Model Inputs'!$G$34*MIN(1,MAX(0,'Model Inputs'!$G$34-(AN$5-1)))</f>
        <v>0</v>
      </c>
      <c r="AO29" s="62">
        <f>'Model Inputs'!$F$23/'Model Inputs'!$G$34*MIN(1,MAX(0,'Model Inputs'!$G$34-(AO$5-1)))</f>
        <v>0</v>
      </c>
      <c r="AP29" s="62">
        <f>'Model Inputs'!$F$23/'Model Inputs'!$G$34*MIN(1,MAX(0,'Model Inputs'!$G$34-(AP$5-1)))</f>
        <v>0</v>
      </c>
      <c r="AQ29" s="62">
        <f>'Model Inputs'!$F$23/'Model Inputs'!$G$34*MIN(1,MAX(0,'Model Inputs'!$G$34-(AQ$5-1)))</f>
        <v>0</v>
      </c>
      <c r="AR29" s="62">
        <f>'Model Inputs'!$F$23/'Model Inputs'!$G$34*MIN(1,MAX(0,'Model Inputs'!$G$34-(AR$5-1)))</f>
        <v>0</v>
      </c>
      <c r="AS29" s="62">
        <f>'Model Inputs'!$F$23/'Model Inputs'!$G$34*MIN(1,MAX(0,'Model Inputs'!$G$34-(AS$5-1)))</f>
        <v>0</v>
      </c>
      <c r="AT29" s="62">
        <f>'Model Inputs'!$F$23/'Model Inputs'!$G$34*MIN(1,MAX(0,'Model Inputs'!$G$34-(AT$5-1)))</f>
        <v>0</v>
      </c>
      <c r="AU29" s="62">
        <f>'Model Inputs'!$F$23/'Model Inputs'!$G$34*MIN(1,MAX(0,'Model Inputs'!$G$34-(AU$5-1)))</f>
        <v>0</v>
      </c>
      <c r="AV29" s="62">
        <f>'Model Inputs'!$F$23/'Model Inputs'!$G$34*MIN(1,MAX(0,'Model Inputs'!$G$34-(AV$5-1)))</f>
        <v>0</v>
      </c>
      <c r="AW29" s="62">
        <f>'Model Inputs'!$F$23/'Model Inputs'!$G$34*MIN(1,MAX(0,'Model Inputs'!$G$34-(AW$5-1)))</f>
        <v>0</v>
      </c>
      <c r="AX29" s="62">
        <f>'Model Inputs'!$F$23/'Model Inputs'!$G$34*MIN(1,MAX(0,'Model Inputs'!$G$34-(AX$5-1)))</f>
        <v>0</v>
      </c>
      <c r="AY29" s="62">
        <f>'Model Inputs'!$F$23/'Model Inputs'!$G$34*MIN(1,MAX(0,'Model Inputs'!$G$34-(AY$5-1)))</f>
        <v>0</v>
      </c>
      <c r="AZ29" s="62">
        <f>'Model Inputs'!$F$23/'Model Inputs'!$G$34*MIN(1,MAX(0,'Model Inputs'!$G$34-(AZ$5-1)))</f>
        <v>0</v>
      </c>
      <c r="BA29" s="62">
        <f>'Model Inputs'!$F$23/'Model Inputs'!$G$34*MIN(1,MAX(0,'Model Inputs'!$G$34-(BA$5-1)))</f>
        <v>0</v>
      </c>
      <c r="BB29" s="62">
        <f>'Model Inputs'!$F$23/'Model Inputs'!$G$34*MIN(1,MAX(0,'Model Inputs'!$G$34-(BB$5-1)))</f>
        <v>0</v>
      </c>
      <c r="BC29" s="62">
        <f>'Model Inputs'!$F$23/'Model Inputs'!$G$34*MIN(1,MAX(0,'Model Inputs'!$G$34-(BC$5-1)))</f>
        <v>0</v>
      </c>
      <c r="BD29" s="62">
        <f>'Model Inputs'!$F$23/'Model Inputs'!$G$34*MIN(1,MAX(0,'Model Inputs'!$G$34-(BD$5-1)))</f>
        <v>0</v>
      </c>
      <c r="BE29" s="62">
        <f>'Model Inputs'!$F$23/'Model Inputs'!$G$34*MIN(1,MAX(0,'Model Inputs'!$G$34-(BE$5-1)))</f>
        <v>0</v>
      </c>
      <c r="BF29" s="62">
        <f>'Model Inputs'!$F$23/'Model Inputs'!$G$34*MIN(1,MAX(0,'Model Inputs'!$G$34-(BF$5-1)))</f>
        <v>0</v>
      </c>
      <c r="BG29" s="62">
        <f>'Model Inputs'!$F$23/'Model Inputs'!$G$34*MIN(1,MAX(0,'Model Inputs'!$G$34-(BG$5-1)))</f>
        <v>0</v>
      </c>
      <c r="BH29" s="62">
        <f>'Model Inputs'!$F$23/'Model Inputs'!$G$34*MIN(1,MAX(0,'Model Inputs'!$G$34-(BH$5-1)))</f>
        <v>0</v>
      </c>
      <c r="BI29" s="62">
        <f>'Model Inputs'!$F$23/'Model Inputs'!$G$34*MIN(1,MAX(0,'Model Inputs'!$G$34-(BI$5-1)))</f>
        <v>0</v>
      </c>
      <c r="BJ29" s="62">
        <f>'Model Inputs'!$F$23/'Model Inputs'!$G$34*MIN(1,MAX(0,'Model Inputs'!$G$34-(BJ$5-1)))</f>
        <v>0</v>
      </c>
      <c r="BK29" s="62">
        <f>'Model Inputs'!$F$23/'Model Inputs'!$G$34*MIN(1,MAX(0,'Model Inputs'!$G$34-(BK$5-1)))</f>
        <v>0</v>
      </c>
      <c r="BL29" s="62">
        <f>'Model Inputs'!$F$23/'Model Inputs'!$G$34*MIN(1,MAX(0,'Model Inputs'!$G$34-(BL$5-1)))</f>
        <v>0</v>
      </c>
      <c r="BM29" s="62">
        <f>'Model Inputs'!$F$23/'Model Inputs'!$G$34*MIN(1,MAX(0,'Model Inputs'!$G$34-(BM$5-1)))</f>
        <v>0</v>
      </c>
      <c r="BN29" s="62">
        <f>'Model Inputs'!$F$23/'Model Inputs'!$G$34*MIN(1,MAX(0,'Model Inputs'!$G$34-(BN$5-1)))</f>
        <v>0</v>
      </c>
      <c r="BO29" s="62">
        <f>'Model Inputs'!$F$23/'Model Inputs'!$G$34*MIN(1,MAX(0,'Model Inputs'!$G$34-(BO$5-1)))</f>
        <v>0</v>
      </c>
    </row>
    <row r="30" spans="1:67" ht="15" customHeight="1" x14ac:dyDescent="0.2">
      <c r="A30" s="14" t="s">
        <v>200</v>
      </c>
      <c r="B30" s="61">
        <f t="shared" si="2"/>
        <v>3329.9999999999982</v>
      </c>
      <c r="C30" s="62">
        <f>'Model Inputs'!$F$24/'Model Inputs'!$G$35*MIN(1,MAX(0,'Model Inputs'!$G$35-(C$5-1)))</f>
        <v>89.530432713510521</v>
      </c>
      <c r="D30" s="62">
        <f>'Model Inputs'!$F$24/'Model Inputs'!$G$35*MIN(1,MAX(0,'Model Inputs'!$G$35-(D$5-1)))</f>
        <v>89.530432713510521</v>
      </c>
      <c r="E30" s="62">
        <f>'Model Inputs'!$F$24/'Model Inputs'!$G$35*MIN(1,MAX(0,'Model Inputs'!$G$35-(E$5-1)))</f>
        <v>89.530432713510521</v>
      </c>
      <c r="F30" s="62">
        <f>'Model Inputs'!$F$24/'Model Inputs'!$G$35*MIN(1,MAX(0,'Model Inputs'!$G$35-(F$5-1)))</f>
        <v>89.530432713510521</v>
      </c>
      <c r="G30" s="62">
        <f>'Model Inputs'!$F$24/'Model Inputs'!$G$35*MIN(1,MAX(0,'Model Inputs'!$G$35-(G$5-1)))</f>
        <v>89.530432713510521</v>
      </c>
      <c r="H30" s="62">
        <f>'Model Inputs'!$F$24/'Model Inputs'!$G$35*MIN(1,MAX(0,'Model Inputs'!$G$35-(H$5-1)))</f>
        <v>89.530432713510521</v>
      </c>
      <c r="I30" s="62">
        <f>'Model Inputs'!$F$24/'Model Inputs'!$G$35*MIN(1,MAX(0,'Model Inputs'!$G$35-(I$5-1)))</f>
        <v>89.530432713510521</v>
      </c>
      <c r="J30" s="62">
        <f>'Model Inputs'!$F$24/'Model Inputs'!$G$35*MIN(1,MAX(0,'Model Inputs'!$G$35-(J$5-1)))</f>
        <v>89.530432713510521</v>
      </c>
      <c r="K30" s="62">
        <f>'Model Inputs'!$F$24/'Model Inputs'!$G$35*MIN(1,MAX(0,'Model Inputs'!$G$35-(K$5-1)))</f>
        <v>89.530432713510521</v>
      </c>
      <c r="L30" s="62">
        <f>'Model Inputs'!$F$24/'Model Inputs'!$G$35*MIN(1,MAX(0,'Model Inputs'!$G$35-(L$5-1)))</f>
        <v>89.530432713510521</v>
      </c>
      <c r="M30" s="62">
        <f>'Model Inputs'!$F$24/'Model Inputs'!$G$35*MIN(1,MAX(0,'Model Inputs'!$G$35-(M$5-1)))</f>
        <v>89.530432713510521</v>
      </c>
      <c r="N30" s="62">
        <f>'Model Inputs'!$F$24/'Model Inputs'!$G$35*MIN(1,MAX(0,'Model Inputs'!$G$35-(N$5-1)))</f>
        <v>89.530432713510521</v>
      </c>
      <c r="O30" s="62">
        <f>'Model Inputs'!$F$24/'Model Inputs'!$G$35*MIN(1,MAX(0,'Model Inputs'!$G$35-(O$5-1)))</f>
        <v>89.530432713510521</v>
      </c>
      <c r="P30" s="62">
        <f>'Model Inputs'!$F$24/'Model Inputs'!$G$35*MIN(1,MAX(0,'Model Inputs'!$G$35-(P$5-1)))</f>
        <v>89.530432713510521</v>
      </c>
      <c r="Q30" s="62">
        <f>'Model Inputs'!$F$24/'Model Inputs'!$G$35*MIN(1,MAX(0,'Model Inputs'!$G$35-(Q$5-1)))</f>
        <v>89.530432713510521</v>
      </c>
      <c r="R30" s="62">
        <f>'Model Inputs'!$F$24/'Model Inputs'!$G$35*MIN(1,MAX(0,'Model Inputs'!$G$35-(R$5-1)))</f>
        <v>89.530432713510521</v>
      </c>
      <c r="S30" s="62">
        <f>'Model Inputs'!$F$24/'Model Inputs'!$G$35*MIN(1,MAX(0,'Model Inputs'!$G$35-(S$5-1)))</f>
        <v>89.530432713510521</v>
      </c>
      <c r="T30" s="62">
        <f>'Model Inputs'!$F$24/'Model Inputs'!$G$35*MIN(1,MAX(0,'Model Inputs'!$G$35-(T$5-1)))</f>
        <v>89.530432713510521</v>
      </c>
      <c r="U30" s="62">
        <f>'Model Inputs'!$F$24/'Model Inputs'!$G$35*MIN(1,MAX(0,'Model Inputs'!$G$35-(U$5-1)))</f>
        <v>89.530432713510521</v>
      </c>
      <c r="V30" s="62">
        <f>'Model Inputs'!$F$24/'Model Inputs'!$G$35*MIN(1,MAX(0,'Model Inputs'!$G$35-(V$5-1)))</f>
        <v>89.530432713510521</v>
      </c>
      <c r="W30" s="62">
        <f>'Model Inputs'!$F$24/'Model Inputs'!$G$35*MIN(1,MAX(0,'Model Inputs'!$G$35-(W$5-1)))</f>
        <v>89.530432713510521</v>
      </c>
      <c r="X30" s="62">
        <f>'Model Inputs'!$F$24/'Model Inputs'!$G$35*MIN(1,MAX(0,'Model Inputs'!$G$35-(X$5-1)))</f>
        <v>89.530432713510521</v>
      </c>
      <c r="Y30" s="62">
        <f>'Model Inputs'!$F$24/'Model Inputs'!$G$35*MIN(1,MAX(0,'Model Inputs'!$G$35-(Y$5-1)))</f>
        <v>89.530432713510521</v>
      </c>
      <c r="Z30" s="62">
        <f>'Model Inputs'!$F$24/'Model Inputs'!$G$35*MIN(1,MAX(0,'Model Inputs'!$G$35-(Z$5-1)))</f>
        <v>89.530432713510521</v>
      </c>
      <c r="AA30" s="62">
        <f>'Model Inputs'!$F$24/'Model Inputs'!$G$35*MIN(1,MAX(0,'Model Inputs'!$G$35-(AA$5-1)))</f>
        <v>89.530432713510521</v>
      </c>
      <c r="AB30" s="62">
        <f>'Model Inputs'!$F$24/'Model Inputs'!$G$35*MIN(1,MAX(0,'Model Inputs'!$G$35-(AB$5-1)))</f>
        <v>89.530432713510521</v>
      </c>
      <c r="AC30" s="62">
        <f>'Model Inputs'!$F$24/'Model Inputs'!$G$35*MIN(1,MAX(0,'Model Inputs'!$G$35-(AC$5-1)))</f>
        <v>89.530432713510521</v>
      </c>
      <c r="AD30" s="62">
        <f>'Model Inputs'!$F$24/'Model Inputs'!$G$35*MIN(1,MAX(0,'Model Inputs'!$G$35-(AD$5-1)))</f>
        <v>89.530432713510521</v>
      </c>
      <c r="AE30" s="62">
        <f>'Model Inputs'!$F$24/'Model Inputs'!$G$35*MIN(1,MAX(0,'Model Inputs'!$G$35-(AE$5-1)))</f>
        <v>89.530432713510521</v>
      </c>
      <c r="AF30" s="62">
        <f>'Model Inputs'!$F$24/'Model Inputs'!$G$35*MIN(1,MAX(0,'Model Inputs'!$G$35-(AF$5-1)))</f>
        <v>89.530432713510521</v>
      </c>
      <c r="AG30" s="62">
        <f>'Model Inputs'!$F$24/'Model Inputs'!$G$35*MIN(1,MAX(0,'Model Inputs'!$G$35-(AG$5-1)))</f>
        <v>89.530432713510521</v>
      </c>
      <c r="AH30" s="62">
        <f>'Model Inputs'!$F$24/'Model Inputs'!$G$35*MIN(1,MAX(0,'Model Inputs'!$G$35-(AH$5-1)))</f>
        <v>89.530432713510521</v>
      </c>
      <c r="AI30" s="62">
        <f>'Model Inputs'!$F$24/'Model Inputs'!$G$35*MIN(1,MAX(0,'Model Inputs'!$G$35-(AI$5-1)))</f>
        <v>89.530432713510521</v>
      </c>
      <c r="AJ30" s="62">
        <f>'Model Inputs'!$F$24/'Model Inputs'!$G$35*MIN(1,MAX(0,'Model Inputs'!$G$35-(AJ$5-1)))</f>
        <v>89.530432713510521</v>
      </c>
      <c r="AK30" s="62">
        <f>'Model Inputs'!$F$24/'Model Inputs'!$G$35*MIN(1,MAX(0,'Model Inputs'!$G$35-(AK$5-1)))</f>
        <v>89.530432713510521</v>
      </c>
      <c r="AL30" s="62">
        <f>'Model Inputs'!$F$24/'Model Inputs'!$G$35*MIN(1,MAX(0,'Model Inputs'!$G$35-(AL$5-1)))</f>
        <v>89.530432713510521</v>
      </c>
      <c r="AM30" s="62">
        <f>'Model Inputs'!$F$24/'Model Inputs'!$G$35*MIN(1,MAX(0,'Model Inputs'!$G$35-(AM$5-1)))</f>
        <v>89.530432713510521</v>
      </c>
      <c r="AN30" s="62">
        <f>'Model Inputs'!$F$24/'Model Inputs'!$G$35*MIN(1,MAX(0,'Model Inputs'!$G$35-(AN$5-1)))</f>
        <v>17.373989600110868</v>
      </c>
      <c r="AO30" s="62">
        <f>'Model Inputs'!$F$24/'Model Inputs'!$G$35*MIN(1,MAX(0,'Model Inputs'!$G$35-(AO$5-1)))</f>
        <v>0</v>
      </c>
      <c r="AP30" s="62">
        <f>'Model Inputs'!$F$24/'Model Inputs'!$G$35*MIN(1,MAX(0,'Model Inputs'!$G$35-(AP$5-1)))</f>
        <v>0</v>
      </c>
      <c r="AQ30" s="62">
        <f>'Model Inputs'!$F$24/'Model Inputs'!$G$35*MIN(1,MAX(0,'Model Inputs'!$G$35-(AQ$5-1)))</f>
        <v>0</v>
      </c>
      <c r="AR30" s="62">
        <f>'Model Inputs'!$F$24/'Model Inputs'!$G$35*MIN(1,MAX(0,'Model Inputs'!$G$35-(AR$5-1)))</f>
        <v>0</v>
      </c>
      <c r="AS30" s="62">
        <f>'Model Inputs'!$F$24/'Model Inputs'!$G$35*MIN(1,MAX(0,'Model Inputs'!$G$35-(AS$5-1)))</f>
        <v>0</v>
      </c>
      <c r="AT30" s="62">
        <f>'Model Inputs'!$F$24/'Model Inputs'!$G$35*MIN(1,MAX(0,'Model Inputs'!$G$35-(AT$5-1)))</f>
        <v>0</v>
      </c>
      <c r="AU30" s="62">
        <f>'Model Inputs'!$F$24/'Model Inputs'!$G$35*MIN(1,MAX(0,'Model Inputs'!$G$35-(AU$5-1)))</f>
        <v>0</v>
      </c>
      <c r="AV30" s="62">
        <f>'Model Inputs'!$F$24/'Model Inputs'!$G$35*MIN(1,MAX(0,'Model Inputs'!$G$35-(AV$5-1)))</f>
        <v>0</v>
      </c>
      <c r="AW30" s="62">
        <f>'Model Inputs'!$F$24/'Model Inputs'!$G$35*MIN(1,MAX(0,'Model Inputs'!$G$35-(AW$5-1)))</f>
        <v>0</v>
      </c>
      <c r="AX30" s="62">
        <f>'Model Inputs'!$F$24/'Model Inputs'!$G$35*MIN(1,MAX(0,'Model Inputs'!$G$35-(AX$5-1)))</f>
        <v>0</v>
      </c>
      <c r="AY30" s="62">
        <f>'Model Inputs'!$F$24/'Model Inputs'!$G$35*MIN(1,MAX(0,'Model Inputs'!$G$35-(AY$5-1)))</f>
        <v>0</v>
      </c>
      <c r="AZ30" s="62">
        <f>'Model Inputs'!$F$24/'Model Inputs'!$G$35*MIN(1,MAX(0,'Model Inputs'!$G$35-(AZ$5-1)))</f>
        <v>0</v>
      </c>
      <c r="BA30" s="62">
        <f>'Model Inputs'!$F$24/'Model Inputs'!$G$35*MIN(1,MAX(0,'Model Inputs'!$G$35-(BA$5-1)))</f>
        <v>0</v>
      </c>
      <c r="BB30" s="62">
        <f>'Model Inputs'!$F$24/'Model Inputs'!$G$35*MIN(1,MAX(0,'Model Inputs'!$G$35-(BB$5-1)))</f>
        <v>0</v>
      </c>
      <c r="BC30" s="62">
        <f>'Model Inputs'!$F$24/'Model Inputs'!$G$35*MIN(1,MAX(0,'Model Inputs'!$G$35-(BC$5-1)))</f>
        <v>0</v>
      </c>
      <c r="BD30" s="62">
        <f>'Model Inputs'!$F$24/'Model Inputs'!$G$35*MIN(1,MAX(0,'Model Inputs'!$G$35-(BD$5-1)))</f>
        <v>0</v>
      </c>
      <c r="BE30" s="62">
        <f>'Model Inputs'!$F$24/'Model Inputs'!$G$35*MIN(1,MAX(0,'Model Inputs'!$G$35-(BE$5-1)))</f>
        <v>0</v>
      </c>
      <c r="BF30" s="62">
        <f>'Model Inputs'!$F$24/'Model Inputs'!$G$35*MIN(1,MAX(0,'Model Inputs'!$G$35-(BF$5-1)))</f>
        <v>0</v>
      </c>
      <c r="BG30" s="62">
        <f>'Model Inputs'!$F$24/'Model Inputs'!$G$35*MIN(1,MAX(0,'Model Inputs'!$G$35-(BG$5-1)))</f>
        <v>0</v>
      </c>
      <c r="BH30" s="62">
        <f>'Model Inputs'!$F$24/'Model Inputs'!$G$35*MIN(1,MAX(0,'Model Inputs'!$G$35-(BH$5-1)))</f>
        <v>0</v>
      </c>
      <c r="BI30" s="62">
        <f>'Model Inputs'!$F$24/'Model Inputs'!$G$35*MIN(1,MAX(0,'Model Inputs'!$G$35-(BI$5-1)))</f>
        <v>0</v>
      </c>
      <c r="BJ30" s="62">
        <f>'Model Inputs'!$F$24/'Model Inputs'!$G$35*MIN(1,MAX(0,'Model Inputs'!$G$35-(BJ$5-1)))</f>
        <v>0</v>
      </c>
      <c r="BK30" s="62">
        <f>'Model Inputs'!$F$24/'Model Inputs'!$G$35*MIN(1,MAX(0,'Model Inputs'!$G$35-(BK$5-1)))</f>
        <v>0</v>
      </c>
      <c r="BL30" s="62">
        <f>'Model Inputs'!$F$24/'Model Inputs'!$G$35*MIN(1,MAX(0,'Model Inputs'!$G$35-(BL$5-1)))</f>
        <v>0</v>
      </c>
      <c r="BM30" s="62">
        <f>'Model Inputs'!$F$24/'Model Inputs'!$G$35*MIN(1,MAX(0,'Model Inputs'!$G$35-(BM$5-1)))</f>
        <v>0</v>
      </c>
      <c r="BN30" s="62">
        <f>'Model Inputs'!$F$24/'Model Inputs'!$G$35*MIN(1,MAX(0,'Model Inputs'!$G$35-(BN$5-1)))</f>
        <v>0</v>
      </c>
      <c r="BO30" s="62">
        <f>'Model Inputs'!$F$24/'Model Inputs'!$G$35*MIN(1,MAX(0,'Model Inputs'!$G$35-(BO$5-1)))</f>
        <v>0</v>
      </c>
    </row>
    <row r="31" spans="1:67" ht="15" customHeight="1" x14ac:dyDescent="0.2">
      <c r="A31" s="14" t="s">
        <v>201</v>
      </c>
      <c r="B31" s="61">
        <f t="shared" si="2"/>
        <v>848.99999999999955</v>
      </c>
      <c r="C31" s="62">
        <f>'Model Inputs'!$F$25/'Model Inputs'!$G$36*MIN(1,MAX(0,'Model Inputs'!$G$36-(C$5-1)))</f>
        <v>21.056187512120957</v>
      </c>
      <c r="D31" s="62">
        <f>'Model Inputs'!$F$25/'Model Inputs'!$G$36*MIN(1,MAX(0,'Model Inputs'!$G$36-(D$5-1)))</f>
        <v>21.056187512120957</v>
      </c>
      <c r="E31" s="62">
        <f>'Model Inputs'!$F$25/'Model Inputs'!$G$36*MIN(1,MAX(0,'Model Inputs'!$G$36-(E$5-1)))</f>
        <v>21.056187512120957</v>
      </c>
      <c r="F31" s="62">
        <f>'Model Inputs'!$F$25/'Model Inputs'!$G$36*MIN(1,MAX(0,'Model Inputs'!$G$36-(F$5-1)))</f>
        <v>21.056187512120957</v>
      </c>
      <c r="G31" s="62">
        <f>'Model Inputs'!$F$25/'Model Inputs'!$G$36*MIN(1,MAX(0,'Model Inputs'!$G$36-(G$5-1)))</f>
        <v>21.056187512120957</v>
      </c>
      <c r="H31" s="62">
        <f>'Model Inputs'!$F$25/'Model Inputs'!$G$36*MIN(1,MAX(0,'Model Inputs'!$G$36-(H$5-1)))</f>
        <v>21.056187512120957</v>
      </c>
      <c r="I31" s="62">
        <f>'Model Inputs'!$F$25/'Model Inputs'!$G$36*MIN(1,MAX(0,'Model Inputs'!$G$36-(I$5-1)))</f>
        <v>21.056187512120957</v>
      </c>
      <c r="J31" s="62">
        <f>'Model Inputs'!$F$25/'Model Inputs'!$G$36*MIN(1,MAX(0,'Model Inputs'!$G$36-(J$5-1)))</f>
        <v>21.056187512120957</v>
      </c>
      <c r="K31" s="62">
        <f>'Model Inputs'!$F$25/'Model Inputs'!$G$36*MIN(1,MAX(0,'Model Inputs'!$G$36-(K$5-1)))</f>
        <v>21.056187512120957</v>
      </c>
      <c r="L31" s="62">
        <f>'Model Inputs'!$F$25/'Model Inputs'!$G$36*MIN(1,MAX(0,'Model Inputs'!$G$36-(L$5-1)))</f>
        <v>21.056187512120957</v>
      </c>
      <c r="M31" s="62">
        <f>'Model Inputs'!$F$25/'Model Inputs'!$G$36*MIN(1,MAX(0,'Model Inputs'!$G$36-(M$5-1)))</f>
        <v>21.056187512120957</v>
      </c>
      <c r="N31" s="62">
        <f>'Model Inputs'!$F$25/'Model Inputs'!$G$36*MIN(1,MAX(0,'Model Inputs'!$G$36-(N$5-1)))</f>
        <v>21.056187512120957</v>
      </c>
      <c r="O31" s="62">
        <f>'Model Inputs'!$F$25/'Model Inputs'!$G$36*MIN(1,MAX(0,'Model Inputs'!$G$36-(O$5-1)))</f>
        <v>21.056187512120957</v>
      </c>
      <c r="P31" s="62">
        <f>'Model Inputs'!$F$25/'Model Inputs'!$G$36*MIN(1,MAX(0,'Model Inputs'!$G$36-(P$5-1)))</f>
        <v>21.056187512120957</v>
      </c>
      <c r="Q31" s="62">
        <f>'Model Inputs'!$F$25/'Model Inputs'!$G$36*MIN(1,MAX(0,'Model Inputs'!$G$36-(Q$5-1)))</f>
        <v>21.056187512120957</v>
      </c>
      <c r="R31" s="62">
        <f>'Model Inputs'!$F$25/'Model Inputs'!$G$36*MIN(1,MAX(0,'Model Inputs'!$G$36-(R$5-1)))</f>
        <v>21.056187512120957</v>
      </c>
      <c r="S31" s="62">
        <f>'Model Inputs'!$F$25/'Model Inputs'!$G$36*MIN(1,MAX(0,'Model Inputs'!$G$36-(S$5-1)))</f>
        <v>21.056187512120957</v>
      </c>
      <c r="T31" s="62">
        <f>'Model Inputs'!$F$25/'Model Inputs'!$G$36*MIN(1,MAX(0,'Model Inputs'!$G$36-(T$5-1)))</f>
        <v>21.056187512120957</v>
      </c>
      <c r="U31" s="62">
        <f>'Model Inputs'!$F$25/'Model Inputs'!$G$36*MIN(1,MAX(0,'Model Inputs'!$G$36-(U$5-1)))</f>
        <v>21.056187512120957</v>
      </c>
      <c r="V31" s="62">
        <f>'Model Inputs'!$F$25/'Model Inputs'!$G$36*MIN(1,MAX(0,'Model Inputs'!$G$36-(V$5-1)))</f>
        <v>21.056187512120957</v>
      </c>
      <c r="W31" s="62">
        <f>'Model Inputs'!$F$25/'Model Inputs'!$G$36*MIN(1,MAX(0,'Model Inputs'!$G$36-(W$5-1)))</f>
        <v>21.056187512120957</v>
      </c>
      <c r="X31" s="62">
        <f>'Model Inputs'!$F$25/'Model Inputs'!$G$36*MIN(1,MAX(0,'Model Inputs'!$G$36-(X$5-1)))</f>
        <v>21.056187512120957</v>
      </c>
      <c r="Y31" s="62">
        <f>'Model Inputs'!$F$25/'Model Inputs'!$G$36*MIN(1,MAX(0,'Model Inputs'!$G$36-(Y$5-1)))</f>
        <v>21.056187512120957</v>
      </c>
      <c r="Z31" s="62">
        <f>'Model Inputs'!$F$25/'Model Inputs'!$G$36*MIN(1,MAX(0,'Model Inputs'!$G$36-(Z$5-1)))</f>
        <v>21.056187512120957</v>
      </c>
      <c r="AA31" s="62">
        <f>'Model Inputs'!$F$25/'Model Inputs'!$G$36*MIN(1,MAX(0,'Model Inputs'!$G$36-(AA$5-1)))</f>
        <v>21.056187512120957</v>
      </c>
      <c r="AB31" s="62">
        <f>'Model Inputs'!$F$25/'Model Inputs'!$G$36*MIN(1,MAX(0,'Model Inputs'!$G$36-(AB$5-1)))</f>
        <v>21.056187512120957</v>
      </c>
      <c r="AC31" s="62">
        <f>'Model Inputs'!$F$25/'Model Inputs'!$G$36*MIN(1,MAX(0,'Model Inputs'!$G$36-(AC$5-1)))</f>
        <v>21.056187512120957</v>
      </c>
      <c r="AD31" s="62">
        <f>'Model Inputs'!$F$25/'Model Inputs'!$G$36*MIN(1,MAX(0,'Model Inputs'!$G$36-(AD$5-1)))</f>
        <v>21.056187512120957</v>
      </c>
      <c r="AE31" s="62">
        <f>'Model Inputs'!$F$25/'Model Inputs'!$G$36*MIN(1,MAX(0,'Model Inputs'!$G$36-(AE$5-1)))</f>
        <v>21.056187512120957</v>
      </c>
      <c r="AF31" s="62">
        <f>'Model Inputs'!$F$25/'Model Inputs'!$G$36*MIN(1,MAX(0,'Model Inputs'!$G$36-(AF$5-1)))</f>
        <v>21.056187512120957</v>
      </c>
      <c r="AG31" s="62">
        <f>'Model Inputs'!$F$25/'Model Inputs'!$G$36*MIN(1,MAX(0,'Model Inputs'!$G$36-(AG$5-1)))</f>
        <v>21.056187512120957</v>
      </c>
      <c r="AH31" s="62">
        <f>'Model Inputs'!$F$25/'Model Inputs'!$G$36*MIN(1,MAX(0,'Model Inputs'!$G$36-(AH$5-1)))</f>
        <v>21.056187512120957</v>
      </c>
      <c r="AI31" s="62">
        <f>'Model Inputs'!$F$25/'Model Inputs'!$G$36*MIN(1,MAX(0,'Model Inputs'!$G$36-(AI$5-1)))</f>
        <v>21.056187512120957</v>
      </c>
      <c r="AJ31" s="62">
        <f>'Model Inputs'!$F$25/'Model Inputs'!$G$36*MIN(1,MAX(0,'Model Inputs'!$G$36-(AJ$5-1)))</f>
        <v>21.056187512120957</v>
      </c>
      <c r="AK31" s="62">
        <f>'Model Inputs'!$F$25/'Model Inputs'!$G$36*MIN(1,MAX(0,'Model Inputs'!$G$36-(AK$5-1)))</f>
        <v>21.056187512120957</v>
      </c>
      <c r="AL31" s="62">
        <f>'Model Inputs'!$F$25/'Model Inputs'!$G$36*MIN(1,MAX(0,'Model Inputs'!$G$36-(AL$5-1)))</f>
        <v>21.056187512120957</v>
      </c>
      <c r="AM31" s="62">
        <f>'Model Inputs'!$F$25/'Model Inputs'!$G$36*MIN(1,MAX(0,'Model Inputs'!$G$36-(AM$5-1)))</f>
        <v>21.056187512120957</v>
      </c>
      <c r="AN31" s="62">
        <f>'Model Inputs'!$F$25/'Model Inputs'!$G$36*MIN(1,MAX(0,'Model Inputs'!$G$36-(AN$5-1)))</f>
        <v>21.056187512120957</v>
      </c>
      <c r="AO31" s="62">
        <f>'Model Inputs'!$F$25/'Model Inputs'!$G$36*MIN(1,MAX(0,'Model Inputs'!$G$36-(AO$5-1)))</f>
        <v>21.056187512120957</v>
      </c>
      <c r="AP31" s="62">
        <f>'Model Inputs'!$F$25/'Model Inputs'!$G$36*MIN(1,MAX(0,'Model Inputs'!$G$36-(AP$5-1)))</f>
        <v>21.056187512120957</v>
      </c>
      <c r="AQ31" s="62">
        <f>'Model Inputs'!$F$25/'Model Inputs'!$G$36*MIN(1,MAX(0,'Model Inputs'!$G$36-(AQ$5-1)))</f>
        <v>6.7524995151617055</v>
      </c>
      <c r="AR31" s="62">
        <f>'Model Inputs'!$F$25/'Model Inputs'!$G$36*MIN(1,MAX(0,'Model Inputs'!$G$36-(AR$5-1)))</f>
        <v>0</v>
      </c>
      <c r="AS31" s="62">
        <f>'Model Inputs'!$F$25/'Model Inputs'!$G$36*MIN(1,MAX(0,'Model Inputs'!$G$36-(AS$5-1)))</f>
        <v>0</v>
      </c>
      <c r="AT31" s="62">
        <f>'Model Inputs'!$F$25/'Model Inputs'!$G$36*MIN(1,MAX(0,'Model Inputs'!$G$36-(AT$5-1)))</f>
        <v>0</v>
      </c>
      <c r="AU31" s="62">
        <f>'Model Inputs'!$F$25/'Model Inputs'!$G$36*MIN(1,MAX(0,'Model Inputs'!$G$36-(AU$5-1)))</f>
        <v>0</v>
      </c>
      <c r="AV31" s="62">
        <f>'Model Inputs'!$F$25/'Model Inputs'!$G$36*MIN(1,MAX(0,'Model Inputs'!$G$36-(AV$5-1)))</f>
        <v>0</v>
      </c>
      <c r="AW31" s="62">
        <f>'Model Inputs'!$F$25/'Model Inputs'!$G$36*MIN(1,MAX(0,'Model Inputs'!$G$36-(AW$5-1)))</f>
        <v>0</v>
      </c>
      <c r="AX31" s="62">
        <f>'Model Inputs'!$F$25/'Model Inputs'!$G$36*MIN(1,MAX(0,'Model Inputs'!$G$36-(AX$5-1)))</f>
        <v>0</v>
      </c>
      <c r="AY31" s="62">
        <f>'Model Inputs'!$F$25/'Model Inputs'!$G$36*MIN(1,MAX(0,'Model Inputs'!$G$36-(AY$5-1)))</f>
        <v>0</v>
      </c>
      <c r="AZ31" s="62">
        <f>'Model Inputs'!$F$25/'Model Inputs'!$G$36*MIN(1,MAX(0,'Model Inputs'!$G$36-(AZ$5-1)))</f>
        <v>0</v>
      </c>
      <c r="BA31" s="62">
        <f>'Model Inputs'!$F$25/'Model Inputs'!$G$36*MIN(1,MAX(0,'Model Inputs'!$G$36-(BA$5-1)))</f>
        <v>0</v>
      </c>
      <c r="BB31" s="62">
        <f>'Model Inputs'!$F$25/'Model Inputs'!$G$36*MIN(1,MAX(0,'Model Inputs'!$G$36-(BB$5-1)))</f>
        <v>0</v>
      </c>
      <c r="BC31" s="62">
        <f>'Model Inputs'!$F$25/'Model Inputs'!$G$36*MIN(1,MAX(0,'Model Inputs'!$G$36-(BC$5-1)))</f>
        <v>0</v>
      </c>
      <c r="BD31" s="62">
        <f>'Model Inputs'!$F$25/'Model Inputs'!$G$36*MIN(1,MAX(0,'Model Inputs'!$G$36-(BD$5-1)))</f>
        <v>0</v>
      </c>
      <c r="BE31" s="62">
        <f>'Model Inputs'!$F$25/'Model Inputs'!$G$36*MIN(1,MAX(0,'Model Inputs'!$G$36-(BE$5-1)))</f>
        <v>0</v>
      </c>
      <c r="BF31" s="62">
        <f>'Model Inputs'!$F$25/'Model Inputs'!$G$36*MIN(1,MAX(0,'Model Inputs'!$G$36-(BF$5-1)))</f>
        <v>0</v>
      </c>
      <c r="BG31" s="62">
        <f>'Model Inputs'!$F$25/'Model Inputs'!$G$36*MIN(1,MAX(0,'Model Inputs'!$G$36-(BG$5-1)))</f>
        <v>0</v>
      </c>
      <c r="BH31" s="62">
        <f>'Model Inputs'!$F$25/'Model Inputs'!$G$36*MIN(1,MAX(0,'Model Inputs'!$G$36-(BH$5-1)))</f>
        <v>0</v>
      </c>
      <c r="BI31" s="62">
        <f>'Model Inputs'!$F$25/'Model Inputs'!$G$36*MIN(1,MAX(0,'Model Inputs'!$G$36-(BI$5-1)))</f>
        <v>0</v>
      </c>
      <c r="BJ31" s="62">
        <f>'Model Inputs'!$F$25/'Model Inputs'!$G$36*MIN(1,MAX(0,'Model Inputs'!$G$36-(BJ$5-1)))</f>
        <v>0</v>
      </c>
      <c r="BK31" s="62">
        <f>'Model Inputs'!$F$25/'Model Inputs'!$G$36*MIN(1,MAX(0,'Model Inputs'!$G$36-(BK$5-1)))</f>
        <v>0</v>
      </c>
      <c r="BL31" s="62">
        <f>'Model Inputs'!$F$25/'Model Inputs'!$G$36*MIN(1,MAX(0,'Model Inputs'!$G$36-(BL$5-1)))</f>
        <v>0</v>
      </c>
      <c r="BM31" s="62">
        <f>'Model Inputs'!$F$25/'Model Inputs'!$G$36*MIN(1,MAX(0,'Model Inputs'!$G$36-(BM$5-1)))</f>
        <v>0</v>
      </c>
      <c r="BN31" s="62">
        <f>'Model Inputs'!$F$25/'Model Inputs'!$G$36*MIN(1,MAX(0,'Model Inputs'!$G$36-(BN$5-1)))</f>
        <v>0</v>
      </c>
      <c r="BO31" s="62">
        <f>'Model Inputs'!$F$25/'Model Inputs'!$G$36*MIN(1,MAX(0,'Model Inputs'!$G$36-(BO$5-1)))</f>
        <v>0</v>
      </c>
    </row>
    <row r="32" spans="1:67" ht="15" customHeight="1" x14ac:dyDescent="0.2">
      <c r="A32" s="14" t="s">
        <v>202</v>
      </c>
      <c r="B32" s="61">
        <f t="shared" si="2"/>
        <v>7134.0000000000036</v>
      </c>
      <c r="C32" s="62">
        <f>'Model Inputs'!$F$26/'Model Inputs'!$G$36*MIN(1,MAX(0,'Model Inputs'!$G$36-(C$5-1)))</f>
        <v>176.93149789336974</v>
      </c>
      <c r="D32" s="62">
        <f>'Model Inputs'!$F$26/'Model Inputs'!$G$36*MIN(1,MAX(0,'Model Inputs'!$G$36-(D$5-1)))</f>
        <v>176.93149789336974</v>
      </c>
      <c r="E32" s="62">
        <f>'Model Inputs'!$F$26/'Model Inputs'!$G$36*MIN(1,MAX(0,'Model Inputs'!$G$36-(E$5-1)))</f>
        <v>176.93149789336974</v>
      </c>
      <c r="F32" s="62">
        <f>'Model Inputs'!$F$26/'Model Inputs'!$G$36*MIN(1,MAX(0,'Model Inputs'!$G$36-(F$5-1)))</f>
        <v>176.93149789336974</v>
      </c>
      <c r="G32" s="62">
        <f>'Model Inputs'!$F$26/'Model Inputs'!$G$36*MIN(1,MAX(0,'Model Inputs'!$G$36-(G$5-1)))</f>
        <v>176.93149789336974</v>
      </c>
      <c r="H32" s="62">
        <f>'Model Inputs'!$F$26/'Model Inputs'!$G$36*MIN(1,MAX(0,'Model Inputs'!$G$36-(H$5-1)))</f>
        <v>176.93149789336974</v>
      </c>
      <c r="I32" s="62">
        <f>'Model Inputs'!$F$26/'Model Inputs'!$G$36*MIN(1,MAX(0,'Model Inputs'!$G$36-(I$5-1)))</f>
        <v>176.93149789336974</v>
      </c>
      <c r="J32" s="62">
        <f>'Model Inputs'!$F$26/'Model Inputs'!$G$36*MIN(1,MAX(0,'Model Inputs'!$G$36-(J$5-1)))</f>
        <v>176.93149789336974</v>
      </c>
      <c r="K32" s="62">
        <f>'Model Inputs'!$F$26/'Model Inputs'!$G$36*MIN(1,MAX(0,'Model Inputs'!$G$36-(K$5-1)))</f>
        <v>176.93149789336974</v>
      </c>
      <c r="L32" s="62">
        <f>'Model Inputs'!$F$26/'Model Inputs'!$G$36*MIN(1,MAX(0,'Model Inputs'!$G$36-(L$5-1)))</f>
        <v>176.93149789336974</v>
      </c>
      <c r="M32" s="62">
        <f>'Model Inputs'!$F$26/'Model Inputs'!$G$36*MIN(1,MAX(0,'Model Inputs'!$G$36-(M$5-1)))</f>
        <v>176.93149789336974</v>
      </c>
      <c r="N32" s="62">
        <f>'Model Inputs'!$F$26/'Model Inputs'!$G$36*MIN(1,MAX(0,'Model Inputs'!$G$36-(N$5-1)))</f>
        <v>176.93149789336974</v>
      </c>
      <c r="O32" s="62">
        <f>'Model Inputs'!$F$26/'Model Inputs'!$G$36*MIN(1,MAX(0,'Model Inputs'!$G$36-(O$5-1)))</f>
        <v>176.93149789336974</v>
      </c>
      <c r="P32" s="62">
        <f>'Model Inputs'!$F$26/'Model Inputs'!$G$36*MIN(1,MAX(0,'Model Inputs'!$G$36-(P$5-1)))</f>
        <v>176.93149789336974</v>
      </c>
      <c r="Q32" s="62">
        <f>'Model Inputs'!$F$26/'Model Inputs'!$G$36*MIN(1,MAX(0,'Model Inputs'!$G$36-(Q$5-1)))</f>
        <v>176.93149789336974</v>
      </c>
      <c r="R32" s="62">
        <f>'Model Inputs'!$F$26/'Model Inputs'!$G$36*MIN(1,MAX(0,'Model Inputs'!$G$36-(R$5-1)))</f>
        <v>176.93149789336974</v>
      </c>
      <c r="S32" s="62">
        <f>'Model Inputs'!$F$26/'Model Inputs'!$G$36*MIN(1,MAX(0,'Model Inputs'!$G$36-(S$5-1)))</f>
        <v>176.93149789336974</v>
      </c>
      <c r="T32" s="62">
        <f>'Model Inputs'!$F$26/'Model Inputs'!$G$36*MIN(1,MAX(0,'Model Inputs'!$G$36-(T$5-1)))</f>
        <v>176.93149789336974</v>
      </c>
      <c r="U32" s="62">
        <f>'Model Inputs'!$F$26/'Model Inputs'!$G$36*MIN(1,MAX(0,'Model Inputs'!$G$36-(U$5-1)))</f>
        <v>176.93149789336974</v>
      </c>
      <c r="V32" s="62">
        <f>'Model Inputs'!$F$26/'Model Inputs'!$G$36*MIN(1,MAX(0,'Model Inputs'!$G$36-(V$5-1)))</f>
        <v>176.93149789336974</v>
      </c>
      <c r="W32" s="62">
        <f>'Model Inputs'!$F$26/'Model Inputs'!$G$36*MIN(1,MAX(0,'Model Inputs'!$G$36-(W$5-1)))</f>
        <v>176.93149789336974</v>
      </c>
      <c r="X32" s="62">
        <f>'Model Inputs'!$F$26/'Model Inputs'!$G$36*MIN(1,MAX(0,'Model Inputs'!$G$36-(X$5-1)))</f>
        <v>176.93149789336974</v>
      </c>
      <c r="Y32" s="62">
        <f>'Model Inputs'!$F$26/'Model Inputs'!$G$36*MIN(1,MAX(0,'Model Inputs'!$G$36-(Y$5-1)))</f>
        <v>176.93149789336974</v>
      </c>
      <c r="Z32" s="62">
        <f>'Model Inputs'!$F$26/'Model Inputs'!$G$36*MIN(1,MAX(0,'Model Inputs'!$G$36-(Z$5-1)))</f>
        <v>176.93149789336974</v>
      </c>
      <c r="AA32" s="62">
        <f>'Model Inputs'!$F$26/'Model Inputs'!$G$36*MIN(1,MAX(0,'Model Inputs'!$G$36-(AA$5-1)))</f>
        <v>176.93149789336974</v>
      </c>
      <c r="AB32" s="62">
        <f>'Model Inputs'!$F$26/'Model Inputs'!$G$36*MIN(1,MAX(0,'Model Inputs'!$G$36-(AB$5-1)))</f>
        <v>176.93149789336974</v>
      </c>
      <c r="AC32" s="62">
        <f>'Model Inputs'!$F$26/'Model Inputs'!$G$36*MIN(1,MAX(0,'Model Inputs'!$G$36-(AC$5-1)))</f>
        <v>176.93149789336974</v>
      </c>
      <c r="AD32" s="62">
        <f>'Model Inputs'!$F$26/'Model Inputs'!$G$36*MIN(1,MAX(0,'Model Inputs'!$G$36-(AD$5-1)))</f>
        <v>176.93149789336974</v>
      </c>
      <c r="AE32" s="62">
        <f>'Model Inputs'!$F$26/'Model Inputs'!$G$36*MIN(1,MAX(0,'Model Inputs'!$G$36-(AE$5-1)))</f>
        <v>176.93149789336974</v>
      </c>
      <c r="AF32" s="62">
        <f>'Model Inputs'!$F$26/'Model Inputs'!$G$36*MIN(1,MAX(0,'Model Inputs'!$G$36-(AF$5-1)))</f>
        <v>176.93149789336974</v>
      </c>
      <c r="AG32" s="62">
        <f>'Model Inputs'!$F$26/'Model Inputs'!$G$36*MIN(1,MAX(0,'Model Inputs'!$G$36-(AG$5-1)))</f>
        <v>176.93149789336974</v>
      </c>
      <c r="AH32" s="62">
        <f>'Model Inputs'!$F$26/'Model Inputs'!$G$36*MIN(1,MAX(0,'Model Inputs'!$G$36-(AH$5-1)))</f>
        <v>176.93149789336974</v>
      </c>
      <c r="AI32" s="62">
        <f>'Model Inputs'!$F$26/'Model Inputs'!$G$36*MIN(1,MAX(0,'Model Inputs'!$G$36-(AI$5-1)))</f>
        <v>176.93149789336974</v>
      </c>
      <c r="AJ32" s="62">
        <f>'Model Inputs'!$F$26/'Model Inputs'!$G$36*MIN(1,MAX(0,'Model Inputs'!$G$36-(AJ$5-1)))</f>
        <v>176.93149789336974</v>
      </c>
      <c r="AK32" s="62">
        <f>'Model Inputs'!$F$26/'Model Inputs'!$G$36*MIN(1,MAX(0,'Model Inputs'!$G$36-(AK$5-1)))</f>
        <v>176.93149789336974</v>
      </c>
      <c r="AL32" s="62">
        <f>'Model Inputs'!$F$26/'Model Inputs'!$G$36*MIN(1,MAX(0,'Model Inputs'!$G$36-(AL$5-1)))</f>
        <v>176.93149789336974</v>
      </c>
      <c r="AM32" s="62">
        <f>'Model Inputs'!$F$26/'Model Inputs'!$G$36*MIN(1,MAX(0,'Model Inputs'!$G$36-(AM$5-1)))</f>
        <v>176.93149789336974</v>
      </c>
      <c r="AN32" s="62">
        <f>'Model Inputs'!$F$26/'Model Inputs'!$G$36*MIN(1,MAX(0,'Model Inputs'!$G$36-(AN$5-1)))</f>
        <v>176.93149789336974</v>
      </c>
      <c r="AO32" s="62">
        <f>'Model Inputs'!$F$26/'Model Inputs'!$G$36*MIN(1,MAX(0,'Model Inputs'!$G$36-(AO$5-1)))</f>
        <v>176.93149789336974</v>
      </c>
      <c r="AP32" s="62">
        <f>'Model Inputs'!$F$26/'Model Inputs'!$G$36*MIN(1,MAX(0,'Model Inputs'!$G$36-(AP$5-1)))</f>
        <v>176.93149789336974</v>
      </c>
      <c r="AQ32" s="62">
        <f>'Model Inputs'!$F$26/'Model Inputs'!$G$36*MIN(1,MAX(0,'Model Inputs'!$G$36-(AQ$5-1)))</f>
        <v>56.740084265210371</v>
      </c>
      <c r="AR32" s="62">
        <f>'Model Inputs'!$F$26/'Model Inputs'!$G$36*MIN(1,MAX(0,'Model Inputs'!$G$36-(AR$5-1)))</f>
        <v>0</v>
      </c>
      <c r="AS32" s="62">
        <f>'Model Inputs'!$F$26/'Model Inputs'!$G$36*MIN(1,MAX(0,'Model Inputs'!$G$36-(AS$5-1)))</f>
        <v>0</v>
      </c>
      <c r="AT32" s="62">
        <f>'Model Inputs'!$F$26/'Model Inputs'!$G$36*MIN(1,MAX(0,'Model Inputs'!$G$36-(AT$5-1)))</f>
        <v>0</v>
      </c>
      <c r="AU32" s="62">
        <f>'Model Inputs'!$F$26/'Model Inputs'!$G$36*MIN(1,MAX(0,'Model Inputs'!$G$36-(AU$5-1)))</f>
        <v>0</v>
      </c>
      <c r="AV32" s="62">
        <f>'Model Inputs'!$F$26/'Model Inputs'!$G$36*MIN(1,MAX(0,'Model Inputs'!$G$36-(AV$5-1)))</f>
        <v>0</v>
      </c>
      <c r="AW32" s="62">
        <f>'Model Inputs'!$F$26/'Model Inputs'!$G$36*MIN(1,MAX(0,'Model Inputs'!$G$36-(AW$5-1)))</f>
        <v>0</v>
      </c>
      <c r="AX32" s="62">
        <f>'Model Inputs'!$F$26/'Model Inputs'!$G$36*MIN(1,MAX(0,'Model Inputs'!$G$36-(AX$5-1)))</f>
        <v>0</v>
      </c>
      <c r="AY32" s="62">
        <f>'Model Inputs'!$F$26/'Model Inputs'!$G$36*MIN(1,MAX(0,'Model Inputs'!$G$36-(AY$5-1)))</f>
        <v>0</v>
      </c>
      <c r="AZ32" s="62">
        <f>'Model Inputs'!$F$26/'Model Inputs'!$G$36*MIN(1,MAX(0,'Model Inputs'!$G$36-(AZ$5-1)))</f>
        <v>0</v>
      </c>
      <c r="BA32" s="62">
        <f>'Model Inputs'!$F$26/'Model Inputs'!$G$36*MIN(1,MAX(0,'Model Inputs'!$G$36-(BA$5-1)))</f>
        <v>0</v>
      </c>
      <c r="BB32" s="62">
        <f>'Model Inputs'!$F$26/'Model Inputs'!$G$36*MIN(1,MAX(0,'Model Inputs'!$G$36-(BB$5-1)))</f>
        <v>0</v>
      </c>
      <c r="BC32" s="62">
        <f>'Model Inputs'!$F$26/'Model Inputs'!$G$36*MIN(1,MAX(0,'Model Inputs'!$G$36-(BC$5-1)))</f>
        <v>0</v>
      </c>
      <c r="BD32" s="62">
        <f>'Model Inputs'!$F$26/'Model Inputs'!$G$36*MIN(1,MAX(0,'Model Inputs'!$G$36-(BD$5-1)))</f>
        <v>0</v>
      </c>
      <c r="BE32" s="62">
        <f>'Model Inputs'!$F$26/'Model Inputs'!$G$36*MIN(1,MAX(0,'Model Inputs'!$G$36-(BE$5-1)))</f>
        <v>0</v>
      </c>
      <c r="BF32" s="62">
        <f>'Model Inputs'!$F$26/'Model Inputs'!$G$36*MIN(1,MAX(0,'Model Inputs'!$G$36-(BF$5-1)))</f>
        <v>0</v>
      </c>
      <c r="BG32" s="62">
        <f>'Model Inputs'!$F$26/'Model Inputs'!$G$36*MIN(1,MAX(0,'Model Inputs'!$G$36-(BG$5-1)))</f>
        <v>0</v>
      </c>
      <c r="BH32" s="62">
        <f>'Model Inputs'!$F$26/'Model Inputs'!$G$36*MIN(1,MAX(0,'Model Inputs'!$G$36-(BH$5-1)))</f>
        <v>0</v>
      </c>
      <c r="BI32" s="62">
        <f>'Model Inputs'!$F$26/'Model Inputs'!$G$36*MIN(1,MAX(0,'Model Inputs'!$G$36-(BI$5-1)))</f>
        <v>0</v>
      </c>
      <c r="BJ32" s="62">
        <f>'Model Inputs'!$F$26/'Model Inputs'!$G$36*MIN(1,MAX(0,'Model Inputs'!$G$36-(BJ$5-1)))</f>
        <v>0</v>
      </c>
      <c r="BK32" s="62">
        <f>'Model Inputs'!$F$26/'Model Inputs'!$G$36*MIN(1,MAX(0,'Model Inputs'!$G$36-(BK$5-1)))</f>
        <v>0</v>
      </c>
      <c r="BL32" s="62">
        <f>'Model Inputs'!$F$26/'Model Inputs'!$G$36*MIN(1,MAX(0,'Model Inputs'!$G$36-(BL$5-1)))</f>
        <v>0</v>
      </c>
      <c r="BM32" s="62">
        <f>'Model Inputs'!$F$26/'Model Inputs'!$G$36*MIN(1,MAX(0,'Model Inputs'!$G$36-(BM$5-1)))</f>
        <v>0</v>
      </c>
      <c r="BN32" s="62">
        <f>'Model Inputs'!$F$26/'Model Inputs'!$G$36*MIN(1,MAX(0,'Model Inputs'!$G$36-(BN$5-1)))</f>
        <v>0</v>
      </c>
      <c r="BO32" s="62">
        <f>'Model Inputs'!$F$26/'Model Inputs'!$G$36*MIN(1,MAX(0,'Model Inputs'!$G$36-(BO$5-1)))</f>
        <v>0</v>
      </c>
    </row>
    <row r="33" spans="1:67" ht="15" customHeight="1" x14ac:dyDescent="0.2">
      <c r="A33" s="14" t="s">
        <v>203</v>
      </c>
      <c r="B33" s="61">
        <f t="shared" si="2"/>
        <v>817.00000000000011</v>
      </c>
      <c r="C33" s="62">
        <f>'Model Inputs'!$F$27/'Model Inputs'!$G$34*MIN(1,MAX(0,'Model Inputs'!$G$34-(C$5-1)))</f>
        <v>37.616084826953617</v>
      </c>
      <c r="D33" s="62">
        <f>'Model Inputs'!$F$27/'Model Inputs'!$G$34*MIN(1,MAX(0,'Model Inputs'!$G$34-(D$5-1)))</f>
        <v>37.616084826953617</v>
      </c>
      <c r="E33" s="62">
        <f>'Model Inputs'!$F$27/'Model Inputs'!$G$34*MIN(1,MAX(0,'Model Inputs'!$G$34-(E$5-1)))</f>
        <v>37.616084826953617</v>
      </c>
      <c r="F33" s="62">
        <f>'Model Inputs'!$F$27/'Model Inputs'!$G$34*MIN(1,MAX(0,'Model Inputs'!$G$34-(F$5-1)))</f>
        <v>37.616084826953617</v>
      </c>
      <c r="G33" s="62">
        <f>'Model Inputs'!$F$27/'Model Inputs'!$G$34*MIN(1,MAX(0,'Model Inputs'!$G$34-(G$5-1)))</f>
        <v>37.616084826953617</v>
      </c>
      <c r="H33" s="62">
        <f>'Model Inputs'!$F$27/'Model Inputs'!$G$34*MIN(1,MAX(0,'Model Inputs'!$G$34-(H$5-1)))</f>
        <v>37.616084826953617</v>
      </c>
      <c r="I33" s="62">
        <f>'Model Inputs'!$F$27/'Model Inputs'!$G$34*MIN(1,MAX(0,'Model Inputs'!$G$34-(I$5-1)))</f>
        <v>37.616084826953617</v>
      </c>
      <c r="J33" s="62">
        <f>'Model Inputs'!$F$27/'Model Inputs'!$G$34*MIN(1,MAX(0,'Model Inputs'!$G$34-(J$5-1)))</f>
        <v>37.616084826953617</v>
      </c>
      <c r="K33" s="62">
        <f>'Model Inputs'!$F$27/'Model Inputs'!$G$34*MIN(1,MAX(0,'Model Inputs'!$G$34-(K$5-1)))</f>
        <v>37.616084826953617</v>
      </c>
      <c r="L33" s="62">
        <f>'Model Inputs'!$F$27/'Model Inputs'!$G$34*MIN(1,MAX(0,'Model Inputs'!$G$34-(L$5-1)))</f>
        <v>37.616084826953617</v>
      </c>
      <c r="M33" s="62">
        <f>'Model Inputs'!$F$27/'Model Inputs'!$G$34*MIN(1,MAX(0,'Model Inputs'!$G$34-(M$5-1)))</f>
        <v>37.616084826953617</v>
      </c>
      <c r="N33" s="62">
        <f>'Model Inputs'!$F$27/'Model Inputs'!$G$34*MIN(1,MAX(0,'Model Inputs'!$G$34-(N$5-1)))</f>
        <v>37.616084826953617</v>
      </c>
      <c r="O33" s="62">
        <f>'Model Inputs'!$F$27/'Model Inputs'!$G$34*MIN(1,MAX(0,'Model Inputs'!$G$34-(O$5-1)))</f>
        <v>37.616084826953617</v>
      </c>
      <c r="P33" s="62">
        <f>'Model Inputs'!$F$27/'Model Inputs'!$G$34*MIN(1,MAX(0,'Model Inputs'!$G$34-(P$5-1)))</f>
        <v>37.616084826953617</v>
      </c>
      <c r="Q33" s="62">
        <f>'Model Inputs'!$F$27/'Model Inputs'!$G$34*MIN(1,MAX(0,'Model Inputs'!$G$34-(Q$5-1)))</f>
        <v>37.616084826953617</v>
      </c>
      <c r="R33" s="62">
        <f>'Model Inputs'!$F$27/'Model Inputs'!$G$34*MIN(1,MAX(0,'Model Inputs'!$G$34-(R$5-1)))</f>
        <v>37.616084826953617</v>
      </c>
      <c r="S33" s="62">
        <f>'Model Inputs'!$F$27/'Model Inputs'!$G$34*MIN(1,MAX(0,'Model Inputs'!$G$34-(S$5-1)))</f>
        <v>37.616084826953617</v>
      </c>
      <c r="T33" s="62">
        <f>'Model Inputs'!$F$27/'Model Inputs'!$G$34*MIN(1,MAX(0,'Model Inputs'!$G$34-(T$5-1)))</f>
        <v>37.616084826953617</v>
      </c>
      <c r="U33" s="62">
        <f>'Model Inputs'!$F$27/'Model Inputs'!$G$34*MIN(1,MAX(0,'Model Inputs'!$G$34-(U$5-1)))</f>
        <v>37.616084826953617</v>
      </c>
      <c r="V33" s="62">
        <f>'Model Inputs'!$F$27/'Model Inputs'!$G$34*MIN(1,MAX(0,'Model Inputs'!$G$34-(V$5-1)))</f>
        <v>37.616084826953617</v>
      </c>
      <c r="W33" s="62">
        <f>'Model Inputs'!$F$27/'Model Inputs'!$G$34*MIN(1,MAX(0,'Model Inputs'!$G$34-(W$5-1)))</f>
        <v>37.616084826953617</v>
      </c>
      <c r="X33" s="62">
        <f>'Model Inputs'!$F$27/'Model Inputs'!$G$34*MIN(1,MAX(0,'Model Inputs'!$G$34-(X$5-1)))</f>
        <v>27.062218633974066</v>
      </c>
      <c r="Y33" s="62">
        <f>'Model Inputs'!$F$27/'Model Inputs'!$G$34*MIN(1,MAX(0,'Model Inputs'!$G$34-(Y$5-1)))</f>
        <v>0</v>
      </c>
      <c r="Z33" s="62">
        <f>'Model Inputs'!$F$27/'Model Inputs'!$G$34*MIN(1,MAX(0,'Model Inputs'!$G$34-(Z$5-1)))</f>
        <v>0</v>
      </c>
      <c r="AA33" s="62">
        <f>'Model Inputs'!$F$27/'Model Inputs'!$G$34*MIN(1,MAX(0,'Model Inputs'!$G$34-(AA$5-1)))</f>
        <v>0</v>
      </c>
      <c r="AB33" s="62">
        <f>'Model Inputs'!$F$27/'Model Inputs'!$G$34*MIN(1,MAX(0,'Model Inputs'!$G$34-(AB$5-1)))</f>
        <v>0</v>
      </c>
      <c r="AC33" s="62">
        <f>'Model Inputs'!$F$27/'Model Inputs'!$G$34*MIN(1,MAX(0,'Model Inputs'!$G$34-(AC$5-1)))</f>
        <v>0</v>
      </c>
      <c r="AD33" s="62">
        <f>'Model Inputs'!$F$27/'Model Inputs'!$G$34*MIN(1,MAX(0,'Model Inputs'!$G$34-(AD$5-1)))</f>
        <v>0</v>
      </c>
      <c r="AE33" s="62">
        <f>'Model Inputs'!$F$27/'Model Inputs'!$G$34*MIN(1,MAX(0,'Model Inputs'!$G$34-(AE$5-1)))</f>
        <v>0</v>
      </c>
      <c r="AF33" s="62">
        <f>'Model Inputs'!$F$27/'Model Inputs'!$G$34*MIN(1,MAX(0,'Model Inputs'!$G$34-(AF$5-1)))</f>
        <v>0</v>
      </c>
      <c r="AG33" s="62">
        <f>'Model Inputs'!$F$27/'Model Inputs'!$G$34*MIN(1,MAX(0,'Model Inputs'!$G$34-(AG$5-1)))</f>
        <v>0</v>
      </c>
      <c r="AH33" s="62">
        <f>'Model Inputs'!$F$27/'Model Inputs'!$G$34*MIN(1,MAX(0,'Model Inputs'!$G$34-(AH$5-1)))</f>
        <v>0</v>
      </c>
      <c r="AI33" s="62">
        <f>'Model Inputs'!$F$27/'Model Inputs'!$G$34*MIN(1,MAX(0,'Model Inputs'!$G$34-(AI$5-1)))</f>
        <v>0</v>
      </c>
      <c r="AJ33" s="62">
        <f>'Model Inputs'!$F$27/'Model Inputs'!$G$34*MIN(1,MAX(0,'Model Inputs'!$G$34-(AJ$5-1)))</f>
        <v>0</v>
      </c>
      <c r="AK33" s="62">
        <f>'Model Inputs'!$F$27/'Model Inputs'!$G$34*MIN(1,MAX(0,'Model Inputs'!$G$34-(AK$5-1)))</f>
        <v>0</v>
      </c>
      <c r="AL33" s="62">
        <f>'Model Inputs'!$F$27/'Model Inputs'!$G$34*MIN(1,MAX(0,'Model Inputs'!$G$34-(AL$5-1)))</f>
        <v>0</v>
      </c>
      <c r="AM33" s="62">
        <f>'Model Inputs'!$F$27/'Model Inputs'!$G$34*MIN(1,MAX(0,'Model Inputs'!$G$34-(AM$5-1)))</f>
        <v>0</v>
      </c>
      <c r="AN33" s="62">
        <f>'Model Inputs'!$F$27/'Model Inputs'!$G$34*MIN(1,MAX(0,'Model Inputs'!$G$34-(AN$5-1)))</f>
        <v>0</v>
      </c>
      <c r="AO33" s="62">
        <f>'Model Inputs'!$F$27/'Model Inputs'!$G$34*MIN(1,MAX(0,'Model Inputs'!$G$34-(AO$5-1)))</f>
        <v>0</v>
      </c>
      <c r="AP33" s="62">
        <f>'Model Inputs'!$F$27/'Model Inputs'!$G$34*MIN(1,MAX(0,'Model Inputs'!$G$34-(AP$5-1)))</f>
        <v>0</v>
      </c>
      <c r="AQ33" s="62">
        <f>'Model Inputs'!$F$27/'Model Inputs'!$G$34*MIN(1,MAX(0,'Model Inputs'!$G$34-(AQ$5-1)))</f>
        <v>0</v>
      </c>
      <c r="AR33" s="62">
        <f>'Model Inputs'!$F$27/'Model Inputs'!$G$34*MIN(1,MAX(0,'Model Inputs'!$G$34-(AR$5-1)))</f>
        <v>0</v>
      </c>
      <c r="AS33" s="62">
        <f>'Model Inputs'!$F$27/'Model Inputs'!$G$34*MIN(1,MAX(0,'Model Inputs'!$G$34-(AS$5-1)))</f>
        <v>0</v>
      </c>
      <c r="AT33" s="62">
        <f>'Model Inputs'!$F$27/'Model Inputs'!$G$34*MIN(1,MAX(0,'Model Inputs'!$G$34-(AT$5-1)))</f>
        <v>0</v>
      </c>
      <c r="AU33" s="62">
        <f>'Model Inputs'!$F$27/'Model Inputs'!$G$34*MIN(1,MAX(0,'Model Inputs'!$G$34-(AU$5-1)))</f>
        <v>0</v>
      </c>
      <c r="AV33" s="62">
        <f>'Model Inputs'!$F$27/'Model Inputs'!$G$34*MIN(1,MAX(0,'Model Inputs'!$G$34-(AV$5-1)))</f>
        <v>0</v>
      </c>
      <c r="AW33" s="62">
        <f>'Model Inputs'!$F$27/'Model Inputs'!$G$34*MIN(1,MAX(0,'Model Inputs'!$G$34-(AW$5-1)))</f>
        <v>0</v>
      </c>
      <c r="AX33" s="62">
        <f>'Model Inputs'!$F$27/'Model Inputs'!$G$34*MIN(1,MAX(0,'Model Inputs'!$G$34-(AX$5-1)))</f>
        <v>0</v>
      </c>
      <c r="AY33" s="62">
        <f>'Model Inputs'!$F$27/'Model Inputs'!$G$34*MIN(1,MAX(0,'Model Inputs'!$G$34-(AY$5-1)))</f>
        <v>0</v>
      </c>
      <c r="AZ33" s="62">
        <f>'Model Inputs'!$F$27/'Model Inputs'!$G$34*MIN(1,MAX(0,'Model Inputs'!$G$34-(AZ$5-1)))</f>
        <v>0</v>
      </c>
      <c r="BA33" s="62">
        <f>'Model Inputs'!$F$27/'Model Inputs'!$G$34*MIN(1,MAX(0,'Model Inputs'!$G$34-(BA$5-1)))</f>
        <v>0</v>
      </c>
      <c r="BB33" s="62">
        <f>'Model Inputs'!$F$27/'Model Inputs'!$G$34*MIN(1,MAX(0,'Model Inputs'!$G$34-(BB$5-1)))</f>
        <v>0</v>
      </c>
      <c r="BC33" s="62">
        <f>'Model Inputs'!$F$27/'Model Inputs'!$G$34*MIN(1,MAX(0,'Model Inputs'!$G$34-(BC$5-1)))</f>
        <v>0</v>
      </c>
      <c r="BD33" s="62">
        <f>'Model Inputs'!$F$27/'Model Inputs'!$G$34*MIN(1,MAX(0,'Model Inputs'!$G$34-(BD$5-1)))</f>
        <v>0</v>
      </c>
      <c r="BE33" s="62">
        <f>'Model Inputs'!$F$27/'Model Inputs'!$G$34*MIN(1,MAX(0,'Model Inputs'!$G$34-(BE$5-1)))</f>
        <v>0</v>
      </c>
      <c r="BF33" s="62">
        <f>'Model Inputs'!$F$27/'Model Inputs'!$G$34*MIN(1,MAX(0,'Model Inputs'!$G$34-(BF$5-1)))</f>
        <v>0</v>
      </c>
      <c r="BG33" s="62">
        <f>'Model Inputs'!$F$27/'Model Inputs'!$G$34*MIN(1,MAX(0,'Model Inputs'!$G$34-(BG$5-1)))</f>
        <v>0</v>
      </c>
      <c r="BH33" s="62">
        <f>'Model Inputs'!$F$27/'Model Inputs'!$G$34*MIN(1,MAX(0,'Model Inputs'!$G$34-(BH$5-1)))</f>
        <v>0</v>
      </c>
      <c r="BI33" s="62">
        <f>'Model Inputs'!$F$27/'Model Inputs'!$G$34*MIN(1,MAX(0,'Model Inputs'!$G$34-(BI$5-1)))</f>
        <v>0</v>
      </c>
      <c r="BJ33" s="62">
        <f>'Model Inputs'!$F$27/'Model Inputs'!$G$34*MIN(1,MAX(0,'Model Inputs'!$G$34-(BJ$5-1)))</f>
        <v>0</v>
      </c>
      <c r="BK33" s="62">
        <f>'Model Inputs'!$F$27/'Model Inputs'!$G$34*MIN(1,MAX(0,'Model Inputs'!$G$34-(BK$5-1)))</f>
        <v>0</v>
      </c>
      <c r="BL33" s="62">
        <f>'Model Inputs'!$F$27/'Model Inputs'!$G$34*MIN(1,MAX(0,'Model Inputs'!$G$34-(BL$5-1)))</f>
        <v>0</v>
      </c>
      <c r="BM33" s="62">
        <f>'Model Inputs'!$F$27/'Model Inputs'!$G$34*MIN(1,MAX(0,'Model Inputs'!$G$34-(BM$5-1)))</f>
        <v>0</v>
      </c>
      <c r="BN33" s="62">
        <f>'Model Inputs'!$F$27/'Model Inputs'!$G$34*MIN(1,MAX(0,'Model Inputs'!$G$34-(BN$5-1)))</f>
        <v>0</v>
      </c>
      <c r="BO33" s="62">
        <f>'Model Inputs'!$F$27/'Model Inputs'!$G$34*MIN(1,MAX(0,'Model Inputs'!$G$34-(BO$5-1)))</f>
        <v>0</v>
      </c>
    </row>
    <row r="34" spans="1:67" ht="15" customHeight="1" x14ac:dyDescent="0.2">
      <c r="A34" s="14" t="s">
        <v>204</v>
      </c>
      <c r="B34" s="61">
        <f t="shared" si="2"/>
        <v>18005.999999999993</v>
      </c>
      <c r="C34" s="62">
        <f>'Model Inputs'!$F$28/'Model Inputs'!$G$34*MIN(1,MAX(0,'Model Inputs'!$G$34-(C$5-1)))</f>
        <v>829.02720121680147</v>
      </c>
      <c r="D34" s="62">
        <f>'Model Inputs'!$F$28/'Model Inputs'!$G$34*MIN(1,MAX(0,'Model Inputs'!$G$34-(D$5-1)))</f>
        <v>829.02720121680147</v>
      </c>
      <c r="E34" s="62">
        <f>'Model Inputs'!$F$28/'Model Inputs'!$G$34*MIN(1,MAX(0,'Model Inputs'!$G$34-(E$5-1)))</f>
        <v>829.02720121680147</v>
      </c>
      <c r="F34" s="62">
        <f>'Model Inputs'!$F$28/'Model Inputs'!$G$34*MIN(1,MAX(0,'Model Inputs'!$G$34-(F$5-1)))</f>
        <v>829.02720121680147</v>
      </c>
      <c r="G34" s="62">
        <f>'Model Inputs'!$F$28/'Model Inputs'!$G$34*MIN(1,MAX(0,'Model Inputs'!$G$34-(G$5-1)))</f>
        <v>829.02720121680147</v>
      </c>
      <c r="H34" s="62">
        <f>'Model Inputs'!$F$28/'Model Inputs'!$G$34*MIN(1,MAX(0,'Model Inputs'!$G$34-(H$5-1)))</f>
        <v>829.02720121680147</v>
      </c>
      <c r="I34" s="62">
        <f>'Model Inputs'!$F$28/'Model Inputs'!$G$34*MIN(1,MAX(0,'Model Inputs'!$G$34-(I$5-1)))</f>
        <v>829.02720121680147</v>
      </c>
      <c r="J34" s="62">
        <f>'Model Inputs'!$F$28/'Model Inputs'!$G$34*MIN(1,MAX(0,'Model Inputs'!$G$34-(J$5-1)))</f>
        <v>829.02720121680147</v>
      </c>
      <c r="K34" s="62">
        <f>'Model Inputs'!$F$28/'Model Inputs'!$G$34*MIN(1,MAX(0,'Model Inputs'!$G$34-(K$5-1)))</f>
        <v>829.02720121680147</v>
      </c>
      <c r="L34" s="62">
        <f>'Model Inputs'!$F$28/'Model Inputs'!$G$34*MIN(1,MAX(0,'Model Inputs'!$G$34-(L$5-1)))</f>
        <v>829.02720121680147</v>
      </c>
      <c r="M34" s="62">
        <f>'Model Inputs'!$F$28/'Model Inputs'!$G$34*MIN(1,MAX(0,'Model Inputs'!$G$34-(M$5-1)))</f>
        <v>829.02720121680147</v>
      </c>
      <c r="N34" s="62">
        <f>'Model Inputs'!$F$28/'Model Inputs'!$G$34*MIN(1,MAX(0,'Model Inputs'!$G$34-(N$5-1)))</f>
        <v>829.02720121680147</v>
      </c>
      <c r="O34" s="62">
        <f>'Model Inputs'!$F$28/'Model Inputs'!$G$34*MIN(1,MAX(0,'Model Inputs'!$G$34-(O$5-1)))</f>
        <v>829.02720121680147</v>
      </c>
      <c r="P34" s="62">
        <f>'Model Inputs'!$F$28/'Model Inputs'!$G$34*MIN(1,MAX(0,'Model Inputs'!$G$34-(P$5-1)))</f>
        <v>829.02720121680147</v>
      </c>
      <c r="Q34" s="62">
        <f>'Model Inputs'!$F$28/'Model Inputs'!$G$34*MIN(1,MAX(0,'Model Inputs'!$G$34-(Q$5-1)))</f>
        <v>829.02720121680147</v>
      </c>
      <c r="R34" s="62">
        <f>'Model Inputs'!$F$28/'Model Inputs'!$G$34*MIN(1,MAX(0,'Model Inputs'!$G$34-(R$5-1)))</f>
        <v>829.02720121680147</v>
      </c>
      <c r="S34" s="62">
        <f>'Model Inputs'!$F$28/'Model Inputs'!$G$34*MIN(1,MAX(0,'Model Inputs'!$G$34-(S$5-1)))</f>
        <v>829.02720121680147</v>
      </c>
      <c r="T34" s="62">
        <f>'Model Inputs'!$F$28/'Model Inputs'!$G$34*MIN(1,MAX(0,'Model Inputs'!$G$34-(T$5-1)))</f>
        <v>829.02720121680147</v>
      </c>
      <c r="U34" s="62">
        <f>'Model Inputs'!$F$28/'Model Inputs'!$G$34*MIN(1,MAX(0,'Model Inputs'!$G$34-(U$5-1)))</f>
        <v>829.02720121680147</v>
      </c>
      <c r="V34" s="62">
        <f>'Model Inputs'!$F$28/'Model Inputs'!$G$34*MIN(1,MAX(0,'Model Inputs'!$G$34-(V$5-1)))</f>
        <v>829.02720121680147</v>
      </c>
      <c r="W34" s="62">
        <f>'Model Inputs'!$F$28/'Model Inputs'!$G$34*MIN(1,MAX(0,'Model Inputs'!$G$34-(W$5-1)))</f>
        <v>829.02720121680147</v>
      </c>
      <c r="X34" s="62">
        <f>'Model Inputs'!$F$28/'Model Inputs'!$G$34*MIN(1,MAX(0,'Model Inputs'!$G$34-(X$5-1)))</f>
        <v>596.42877444716896</v>
      </c>
      <c r="Y34" s="62">
        <f>'Model Inputs'!$F$28/'Model Inputs'!$G$34*MIN(1,MAX(0,'Model Inputs'!$G$34-(Y$5-1)))</f>
        <v>0</v>
      </c>
      <c r="Z34" s="62">
        <f>'Model Inputs'!$F$28/'Model Inputs'!$G$34*MIN(1,MAX(0,'Model Inputs'!$G$34-(Z$5-1)))</f>
        <v>0</v>
      </c>
      <c r="AA34" s="62">
        <f>'Model Inputs'!$F$28/'Model Inputs'!$G$34*MIN(1,MAX(0,'Model Inputs'!$G$34-(AA$5-1)))</f>
        <v>0</v>
      </c>
      <c r="AB34" s="62">
        <f>'Model Inputs'!$F$28/'Model Inputs'!$G$34*MIN(1,MAX(0,'Model Inputs'!$G$34-(AB$5-1)))</f>
        <v>0</v>
      </c>
      <c r="AC34" s="62">
        <f>'Model Inputs'!$F$28/'Model Inputs'!$G$34*MIN(1,MAX(0,'Model Inputs'!$G$34-(AC$5-1)))</f>
        <v>0</v>
      </c>
      <c r="AD34" s="62">
        <f>'Model Inputs'!$F$28/'Model Inputs'!$G$34*MIN(1,MAX(0,'Model Inputs'!$G$34-(AD$5-1)))</f>
        <v>0</v>
      </c>
      <c r="AE34" s="62">
        <f>'Model Inputs'!$F$28/'Model Inputs'!$G$34*MIN(1,MAX(0,'Model Inputs'!$G$34-(AE$5-1)))</f>
        <v>0</v>
      </c>
      <c r="AF34" s="62">
        <f>'Model Inputs'!$F$28/'Model Inputs'!$G$34*MIN(1,MAX(0,'Model Inputs'!$G$34-(AF$5-1)))</f>
        <v>0</v>
      </c>
      <c r="AG34" s="62">
        <f>'Model Inputs'!$F$28/'Model Inputs'!$G$34*MIN(1,MAX(0,'Model Inputs'!$G$34-(AG$5-1)))</f>
        <v>0</v>
      </c>
      <c r="AH34" s="62">
        <f>'Model Inputs'!$F$28/'Model Inputs'!$G$34*MIN(1,MAX(0,'Model Inputs'!$G$34-(AH$5-1)))</f>
        <v>0</v>
      </c>
      <c r="AI34" s="62">
        <f>'Model Inputs'!$F$28/'Model Inputs'!$G$34*MIN(1,MAX(0,'Model Inputs'!$G$34-(AI$5-1)))</f>
        <v>0</v>
      </c>
      <c r="AJ34" s="62">
        <f>'Model Inputs'!$F$28/'Model Inputs'!$G$34*MIN(1,MAX(0,'Model Inputs'!$G$34-(AJ$5-1)))</f>
        <v>0</v>
      </c>
      <c r="AK34" s="62">
        <f>'Model Inputs'!$F$28/'Model Inputs'!$G$34*MIN(1,MAX(0,'Model Inputs'!$G$34-(AK$5-1)))</f>
        <v>0</v>
      </c>
      <c r="AL34" s="62">
        <f>'Model Inputs'!$F$28/'Model Inputs'!$G$34*MIN(1,MAX(0,'Model Inputs'!$G$34-(AL$5-1)))</f>
        <v>0</v>
      </c>
      <c r="AM34" s="62">
        <f>'Model Inputs'!$F$28/'Model Inputs'!$G$34*MIN(1,MAX(0,'Model Inputs'!$G$34-(AM$5-1)))</f>
        <v>0</v>
      </c>
      <c r="AN34" s="62">
        <f>'Model Inputs'!$F$28/'Model Inputs'!$G$34*MIN(1,MAX(0,'Model Inputs'!$G$34-(AN$5-1)))</f>
        <v>0</v>
      </c>
      <c r="AO34" s="62">
        <f>'Model Inputs'!$F$28/'Model Inputs'!$G$34*MIN(1,MAX(0,'Model Inputs'!$G$34-(AO$5-1)))</f>
        <v>0</v>
      </c>
      <c r="AP34" s="62">
        <f>'Model Inputs'!$F$28/'Model Inputs'!$G$34*MIN(1,MAX(0,'Model Inputs'!$G$34-(AP$5-1)))</f>
        <v>0</v>
      </c>
      <c r="AQ34" s="62">
        <f>'Model Inputs'!$F$28/'Model Inputs'!$G$34*MIN(1,MAX(0,'Model Inputs'!$G$34-(AQ$5-1)))</f>
        <v>0</v>
      </c>
      <c r="AR34" s="62">
        <f>'Model Inputs'!$F$28/'Model Inputs'!$G$34*MIN(1,MAX(0,'Model Inputs'!$G$34-(AR$5-1)))</f>
        <v>0</v>
      </c>
      <c r="AS34" s="62">
        <f>'Model Inputs'!$F$28/'Model Inputs'!$G$34*MIN(1,MAX(0,'Model Inputs'!$G$34-(AS$5-1)))</f>
        <v>0</v>
      </c>
      <c r="AT34" s="62">
        <f>'Model Inputs'!$F$28/'Model Inputs'!$G$34*MIN(1,MAX(0,'Model Inputs'!$G$34-(AT$5-1)))</f>
        <v>0</v>
      </c>
      <c r="AU34" s="62">
        <f>'Model Inputs'!$F$28/'Model Inputs'!$G$34*MIN(1,MAX(0,'Model Inputs'!$G$34-(AU$5-1)))</f>
        <v>0</v>
      </c>
      <c r="AV34" s="62">
        <f>'Model Inputs'!$F$28/'Model Inputs'!$G$34*MIN(1,MAX(0,'Model Inputs'!$G$34-(AV$5-1)))</f>
        <v>0</v>
      </c>
      <c r="AW34" s="62">
        <f>'Model Inputs'!$F$28/'Model Inputs'!$G$34*MIN(1,MAX(0,'Model Inputs'!$G$34-(AW$5-1)))</f>
        <v>0</v>
      </c>
      <c r="AX34" s="62">
        <f>'Model Inputs'!$F$28/'Model Inputs'!$G$34*MIN(1,MAX(0,'Model Inputs'!$G$34-(AX$5-1)))</f>
        <v>0</v>
      </c>
      <c r="AY34" s="62">
        <f>'Model Inputs'!$F$28/'Model Inputs'!$G$34*MIN(1,MAX(0,'Model Inputs'!$G$34-(AY$5-1)))</f>
        <v>0</v>
      </c>
      <c r="AZ34" s="62">
        <f>'Model Inputs'!$F$28/'Model Inputs'!$G$34*MIN(1,MAX(0,'Model Inputs'!$G$34-(AZ$5-1)))</f>
        <v>0</v>
      </c>
      <c r="BA34" s="62">
        <f>'Model Inputs'!$F$28/'Model Inputs'!$G$34*MIN(1,MAX(0,'Model Inputs'!$G$34-(BA$5-1)))</f>
        <v>0</v>
      </c>
      <c r="BB34" s="62">
        <f>'Model Inputs'!$F$28/'Model Inputs'!$G$34*MIN(1,MAX(0,'Model Inputs'!$G$34-(BB$5-1)))</f>
        <v>0</v>
      </c>
      <c r="BC34" s="62">
        <f>'Model Inputs'!$F$28/'Model Inputs'!$G$34*MIN(1,MAX(0,'Model Inputs'!$G$34-(BC$5-1)))</f>
        <v>0</v>
      </c>
      <c r="BD34" s="62">
        <f>'Model Inputs'!$F$28/'Model Inputs'!$G$34*MIN(1,MAX(0,'Model Inputs'!$G$34-(BD$5-1)))</f>
        <v>0</v>
      </c>
      <c r="BE34" s="62">
        <f>'Model Inputs'!$F$28/'Model Inputs'!$G$34*MIN(1,MAX(0,'Model Inputs'!$G$34-(BE$5-1)))</f>
        <v>0</v>
      </c>
      <c r="BF34" s="62">
        <f>'Model Inputs'!$F$28/'Model Inputs'!$G$34*MIN(1,MAX(0,'Model Inputs'!$G$34-(BF$5-1)))</f>
        <v>0</v>
      </c>
      <c r="BG34" s="62">
        <f>'Model Inputs'!$F$28/'Model Inputs'!$G$34*MIN(1,MAX(0,'Model Inputs'!$G$34-(BG$5-1)))</f>
        <v>0</v>
      </c>
      <c r="BH34" s="62">
        <f>'Model Inputs'!$F$28/'Model Inputs'!$G$34*MIN(1,MAX(0,'Model Inputs'!$G$34-(BH$5-1)))</f>
        <v>0</v>
      </c>
      <c r="BI34" s="62">
        <f>'Model Inputs'!$F$28/'Model Inputs'!$G$34*MIN(1,MAX(0,'Model Inputs'!$G$34-(BI$5-1)))</f>
        <v>0</v>
      </c>
      <c r="BJ34" s="62">
        <f>'Model Inputs'!$F$28/'Model Inputs'!$G$34*MIN(1,MAX(0,'Model Inputs'!$G$34-(BJ$5-1)))</f>
        <v>0</v>
      </c>
      <c r="BK34" s="62">
        <f>'Model Inputs'!$F$28/'Model Inputs'!$G$34*MIN(1,MAX(0,'Model Inputs'!$G$34-(BK$5-1)))</f>
        <v>0</v>
      </c>
      <c r="BL34" s="62">
        <f>'Model Inputs'!$F$28/'Model Inputs'!$G$34*MIN(1,MAX(0,'Model Inputs'!$G$34-(BL$5-1)))</f>
        <v>0</v>
      </c>
      <c r="BM34" s="62">
        <f>'Model Inputs'!$F$28/'Model Inputs'!$G$34*MIN(1,MAX(0,'Model Inputs'!$G$34-(BM$5-1)))</f>
        <v>0</v>
      </c>
      <c r="BN34" s="62">
        <f>'Model Inputs'!$F$28/'Model Inputs'!$G$34*MIN(1,MAX(0,'Model Inputs'!$G$34-(BN$5-1)))</f>
        <v>0</v>
      </c>
      <c r="BO34" s="62">
        <f>'Model Inputs'!$F$28/'Model Inputs'!$G$34*MIN(1,MAX(0,'Model Inputs'!$G$34-(BO$5-1)))</f>
        <v>0</v>
      </c>
    </row>
    <row r="35" spans="1:67" ht="15" customHeight="1" x14ac:dyDescent="0.2">
      <c r="A35" s="29" t="s">
        <v>205</v>
      </c>
      <c r="B35" s="61">
        <f t="shared" si="2"/>
        <v>15911.000000000015</v>
      </c>
      <c r="C35" s="61">
        <f t="shared" ref="C35:AH35" si="3">SUM(C27:C33)+C34/6</f>
        <v>499.21794435441461</v>
      </c>
      <c r="D35" s="61">
        <f t="shared" si="3"/>
        <v>499.21794435441461</v>
      </c>
      <c r="E35" s="61">
        <f t="shared" si="3"/>
        <v>499.21794435441461</v>
      </c>
      <c r="F35" s="61">
        <f t="shared" si="3"/>
        <v>499.21794435441461</v>
      </c>
      <c r="G35" s="61">
        <f t="shared" si="3"/>
        <v>499.21794435441461</v>
      </c>
      <c r="H35" s="61">
        <f t="shared" si="3"/>
        <v>499.21794435441461</v>
      </c>
      <c r="I35" s="61">
        <f t="shared" si="3"/>
        <v>499.21794435441461</v>
      </c>
      <c r="J35" s="61">
        <f t="shared" si="3"/>
        <v>499.21794435441461</v>
      </c>
      <c r="K35" s="61">
        <f t="shared" si="3"/>
        <v>499.21794435441461</v>
      </c>
      <c r="L35" s="61">
        <f t="shared" si="3"/>
        <v>499.21794435441461</v>
      </c>
      <c r="M35" s="61">
        <f t="shared" si="3"/>
        <v>499.21794435441461</v>
      </c>
      <c r="N35" s="61">
        <f t="shared" si="3"/>
        <v>499.21794435441461</v>
      </c>
      <c r="O35" s="61">
        <f t="shared" si="3"/>
        <v>499.21794435441461</v>
      </c>
      <c r="P35" s="61">
        <f t="shared" si="3"/>
        <v>499.21794435441461</v>
      </c>
      <c r="Q35" s="61">
        <f t="shared" si="3"/>
        <v>499.21794435441461</v>
      </c>
      <c r="R35" s="61">
        <f t="shared" si="3"/>
        <v>499.21794435441461</v>
      </c>
      <c r="S35" s="61">
        <f t="shared" si="3"/>
        <v>499.21794435441461</v>
      </c>
      <c r="T35" s="61">
        <f t="shared" si="3"/>
        <v>499.21794435441461</v>
      </c>
      <c r="U35" s="61">
        <f t="shared" si="3"/>
        <v>499.21794435441461</v>
      </c>
      <c r="V35" s="61">
        <f t="shared" si="3"/>
        <v>499.21794435441461</v>
      </c>
      <c r="W35" s="61">
        <f t="shared" si="3"/>
        <v>499.21794435441461</v>
      </c>
      <c r="X35" s="61">
        <f t="shared" si="3"/>
        <v>439.82176717532036</v>
      </c>
      <c r="Y35" s="61">
        <f t="shared" si="3"/>
        <v>287.5181181190012</v>
      </c>
      <c r="Z35" s="61">
        <f t="shared" si="3"/>
        <v>287.5181181190012</v>
      </c>
      <c r="AA35" s="61">
        <f t="shared" si="3"/>
        <v>287.5181181190012</v>
      </c>
      <c r="AB35" s="61">
        <f t="shared" si="3"/>
        <v>287.5181181190012</v>
      </c>
      <c r="AC35" s="61">
        <f t="shared" si="3"/>
        <v>287.5181181190012</v>
      </c>
      <c r="AD35" s="61">
        <f t="shared" si="3"/>
        <v>287.5181181190012</v>
      </c>
      <c r="AE35" s="61">
        <f t="shared" si="3"/>
        <v>287.5181181190012</v>
      </c>
      <c r="AF35" s="61">
        <f t="shared" si="3"/>
        <v>287.5181181190012</v>
      </c>
      <c r="AG35" s="61">
        <f t="shared" si="3"/>
        <v>287.5181181190012</v>
      </c>
      <c r="AH35" s="61">
        <f t="shared" si="3"/>
        <v>287.5181181190012</v>
      </c>
      <c r="AI35" s="61">
        <f t="shared" ref="AI35:BN35" si="4">SUM(AI27:AI33)+AI34/6</f>
        <v>287.5181181190012</v>
      </c>
      <c r="AJ35" s="61">
        <f t="shared" si="4"/>
        <v>287.5181181190012</v>
      </c>
      <c r="AK35" s="61">
        <f t="shared" si="4"/>
        <v>287.5181181190012</v>
      </c>
      <c r="AL35" s="61">
        <f t="shared" si="4"/>
        <v>287.5181181190012</v>
      </c>
      <c r="AM35" s="61">
        <f t="shared" si="4"/>
        <v>287.5181181190012</v>
      </c>
      <c r="AN35" s="61">
        <f t="shared" si="4"/>
        <v>215.36167500560157</v>
      </c>
      <c r="AO35" s="61">
        <f t="shared" si="4"/>
        <v>197.98768540549071</v>
      </c>
      <c r="AP35" s="61">
        <f t="shared" si="4"/>
        <v>197.98768540549071</v>
      </c>
      <c r="AQ35" s="61">
        <f t="shared" si="4"/>
        <v>63.492583780372073</v>
      </c>
      <c r="AR35" s="61">
        <f t="shared" si="4"/>
        <v>0</v>
      </c>
      <c r="AS35" s="61">
        <f t="shared" si="4"/>
        <v>0</v>
      </c>
      <c r="AT35" s="61">
        <f t="shared" si="4"/>
        <v>0</v>
      </c>
      <c r="AU35" s="61">
        <f t="shared" si="4"/>
        <v>0</v>
      </c>
      <c r="AV35" s="61">
        <f t="shared" si="4"/>
        <v>0</v>
      </c>
      <c r="AW35" s="61">
        <f t="shared" si="4"/>
        <v>0</v>
      </c>
      <c r="AX35" s="61">
        <f t="shared" si="4"/>
        <v>0</v>
      </c>
      <c r="AY35" s="61">
        <f t="shared" si="4"/>
        <v>0</v>
      </c>
      <c r="AZ35" s="61">
        <f t="shared" si="4"/>
        <v>0</v>
      </c>
      <c r="BA35" s="61">
        <f t="shared" si="4"/>
        <v>0</v>
      </c>
      <c r="BB35" s="61">
        <f t="shared" si="4"/>
        <v>0</v>
      </c>
      <c r="BC35" s="61">
        <f t="shared" si="4"/>
        <v>0</v>
      </c>
      <c r="BD35" s="61">
        <f t="shared" si="4"/>
        <v>0</v>
      </c>
      <c r="BE35" s="61">
        <f t="shared" si="4"/>
        <v>0</v>
      </c>
      <c r="BF35" s="61">
        <f t="shared" si="4"/>
        <v>0</v>
      </c>
      <c r="BG35" s="61">
        <f t="shared" si="4"/>
        <v>0</v>
      </c>
      <c r="BH35" s="61">
        <f t="shared" si="4"/>
        <v>0</v>
      </c>
      <c r="BI35" s="61">
        <f t="shared" si="4"/>
        <v>0</v>
      </c>
      <c r="BJ35" s="61">
        <f t="shared" si="4"/>
        <v>0</v>
      </c>
      <c r="BK35" s="61">
        <f t="shared" si="4"/>
        <v>0</v>
      </c>
      <c r="BL35" s="61">
        <f t="shared" si="4"/>
        <v>0</v>
      </c>
      <c r="BM35" s="61">
        <f t="shared" si="4"/>
        <v>0</v>
      </c>
      <c r="BN35" s="61">
        <f t="shared" si="4"/>
        <v>0</v>
      </c>
      <c r="BO35" s="61">
        <f t="shared" ref="BO35" si="5">SUM(BO27:BO33)+BO34/6</f>
        <v>0</v>
      </c>
    </row>
    <row r="36" spans="1:67" ht="15" customHeight="1" x14ac:dyDescent="0.2">
      <c r="A36" s="29" t="s">
        <v>206</v>
      </c>
      <c r="B36" s="63"/>
      <c r="C36" s="64">
        <f t="shared" ref="C36:AH36" si="6">C35*1000/365</f>
        <v>1367.7203954915469</v>
      </c>
      <c r="D36" s="64">
        <f t="shared" si="6"/>
        <v>1367.7203954915469</v>
      </c>
      <c r="E36" s="64">
        <f t="shared" si="6"/>
        <v>1367.7203954915469</v>
      </c>
      <c r="F36" s="64">
        <f t="shared" si="6"/>
        <v>1367.7203954915469</v>
      </c>
      <c r="G36" s="64">
        <f t="shared" si="6"/>
        <v>1367.7203954915469</v>
      </c>
      <c r="H36" s="64">
        <f t="shared" si="6"/>
        <v>1367.7203954915469</v>
      </c>
      <c r="I36" s="64">
        <f t="shared" si="6"/>
        <v>1367.7203954915469</v>
      </c>
      <c r="J36" s="64">
        <f t="shared" si="6"/>
        <v>1367.7203954915469</v>
      </c>
      <c r="K36" s="64">
        <f t="shared" si="6"/>
        <v>1367.7203954915469</v>
      </c>
      <c r="L36" s="64">
        <f t="shared" si="6"/>
        <v>1367.7203954915469</v>
      </c>
      <c r="M36" s="64">
        <f t="shared" si="6"/>
        <v>1367.7203954915469</v>
      </c>
      <c r="N36" s="64">
        <f t="shared" si="6"/>
        <v>1367.7203954915469</v>
      </c>
      <c r="O36" s="64">
        <f t="shared" si="6"/>
        <v>1367.7203954915469</v>
      </c>
      <c r="P36" s="64">
        <f t="shared" si="6"/>
        <v>1367.7203954915469</v>
      </c>
      <c r="Q36" s="64">
        <f t="shared" si="6"/>
        <v>1367.7203954915469</v>
      </c>
      <c r="R36" s="64">
        <f t="shared" si="6"/>
        <v>1367.7203954915469</v>
      </c>
      <c r="S36" s="64">
        <f t="shared" si="6"/>
        <v>1367.7203954915469</v>
      </c>
      <c r="T36" s="64">
        <f t="shared" si="6"/>
        <v>1367.7203954915469</v>
      </c>
      <c r="U36" s="64">
        <f t="shared" si="6"/>
        <v>1367.7203954915469</v>
      </c>
      <c r="V36" s="64">
        <f t="shared" si="6"/>
        <v>1367.7203954915469</v>
      </c>
      <c r="W36" s="64">
        <f t="shared" si="6"/>
        <v>1367.7203954915469</v>
      </c>
      <c r="X36" s="64">
        <f t="shared" si="6"/>
        <v>1204.9911429460831</v>
      </c>
      <c r="Y36" s="64">
        <f t="shared" si="6"/>
        <v>787.72087155890745</v>
      </c>
      <c r="Z36" s="64">
        <f t="shared" si="6"/>
        <v>787.72087155890745</v>
      </c>
      <c r="AA36" s="64">
        <f t="shared" si="6"/>
        <v>787.72087155890745</v>
      </c>
      <c r="AB36" s="64">
        <f t="shared" si="6"/>
        <v>787.72087155890745</v>
      </c>
      <c r="AC36" s="64">
        <f t="shared" si="6"/>
        <v>787.72087155890745</v>
      </c>
      <c r="AD36" s="64">
        <f t="shared" si="6"/>
        <v>787.72087155890745</v>
      </c>
      <c r="AE36" s="64">
        <f t="shared" si="6"/>
        <v>787.72087155890745</v>
      </c>
      <c r="AF36" s="64">
        <f t="shared" si="6"/>
        <v>787.72087155890745</v>
      </c>
      <c r="AG36" s="64">
        <f t="shared" si="6"/>
        <v>787.72087155890745</v>
      </c>
      <c r="AH36" s="64">
        <f t="shared" si="6"/>
        <v>787.72087155890745</v>
      </c>
      <c r="AI36" s="64">
        <f t="shared" ref="AI36:BN36" si="7">AI35*1000/365</f>
        <v>787.72087155890745</v>
      </c>
      <c r="AJ36" s="64">
        <f t="shared" si="7"/>
        <v>787.72087155890745</v>
      </c>
      <c r="AK36" s="64">
        <f t="shared" si="7"/>
        <v>787.72087155890745</v>
      </c>
      <c r="AL36" s="64">
        <f t="shared" si="7"/>
        <v>787.72087155890745</v>
      </c>
      <c r="AM36" s="64">
        <f t="shared" si="7"/>
        <v>787.72087155890745</v>
      </c>
      <c r="AN36" s="64">
        <f t="shared" si="7"/>
        <v>590.0319863167166</v>
      </c>
      <c r="AO36" s="64">
        <f t="shared" si="7"/>
        <v>542.43201480956361</v>
      </c>
      <c r="AP36" s="64">
        <f t="shared" si="7"/>
        <v>542.43201480956361</v>
      </c>
      <c r="AQ36" s="65">
        <f t="shared" si="7"/>
        <v>173.95228432978649</v>
      </c>
      <c r="AR36" s="65">
        <f t="shared" si="7"/>
        <v>0</v>
      </c>
      <c r="AS36" s="65">
        <f t="shared" si="7"/>
        <v>0</v>
      </c>
      <c r="AT36" s="65">
        <f t="shared" si="7"/>
        <v>0</v>
      </c>
      <c r="AU36" s="65">
        <f t="shared" si="7"/>
        <v>0</v>
      </c>
      <c r="AV36" s="65">
        <f t="shared" si="7"/>
        <v>0</v>
      </c>
      <c r="AW36" s="65">
        <f t="shared" si="7"/>
        <v>0</v>
      </c>
      <c r="AX36" s="65">
        <f t="shared" si="7"/>
        <v>0</v>
      </c>
      <c r="AY36" s="65">
        <f t="shared" si="7"/>
        <v>0</v>
      </c>
      <c r="AZ36" s="65">
        <f t="shared" si="7"/>
        <v>0</v>
      </c>
      <c r="BA36" s="65">
        <f t="shared" si="7"/>
        <v>0</v>
      </c>
      <c r="BB36" s="65">
        <f t="shared" si="7"/>
        <v>0</v>
      </c>
      <c r="BC36" s="65">
        <f t="shared" si="7"/>
        <v>0</v>
      </c>
      <c r="BD36" s="65">
        <f t="shared" si="7"/>
        <v>0</v>
      </c>
      <c r="BE36" s="65">
        <f t="shared" si="7"/>
        <v>0</v>
      </c>
      <c r="BF36" s="65">
        <f t="shared" si="7"/>
        <v>0</v>
      </c>
      <c r="BG36" s="65">
        <f t="shared" si="7"/>
        <v>0</v>
      </c>
      <c r="BH36" s="65">
        <f t="shared" si="7"/>
        <v>0</v>
      </c>
      <c r="BI36" s="65">
        <f t="shared" si="7"/>
        <v>0</v>
      </c>
      <c r="BJ36" s="65">
        <f t="shared" si="7"/>
        <v>0</v>
      </c>
      <c r="BK36" s="65">
        <f t="shared" si="7"/>
        <v>0</v>
      </c>
      <c r="BL36" s="65">
        <f t="shared" si="7"/>
        <v>0</v>
      </c>
      <c r="BM36" s="65">
        <f t="shared" si="7"/>
        <v>0</v>
      </c>
      <c r="BN36" s="65">
        <f t="shared" si="7"/>
        <v>0</v>
      </c>
      <c r="BO36" s="65">
        <f t="shared" ref="BO36" si="8">BO35*1000/365</f>
        <v>0</v>
      </c>
    </row>
    <row r="37" spans="1:67" ht="15" customHeight="1" x14ac:dyDescent="0.2">
      <c r="A37" s="14" t="s">
        <v>207</v>
      </c>
      <c r="B37" s="62">
        <f>B35-'Model Inputs'!F29</f>
        <v>1.4551915228366852E-11</v>
      </c>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row>
    <row r="39" spans="1:67" ht="15" customHeight="1" x14ac:dyDescent="0.2">
      <c r="A39" s="29" t="s">
        <v>208</v>
      </c>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row>
    <row r="40" spans="1:67" ht="15" customHeight="1" x14ac:dyDescent="0.2">
      <c r="A40" s="14" t="s">
        <v>209</v>
      </c>
      <c r="B40" s="66">
        <f t="shared" ref="B40:B48" si="9">SUM(C40:BO40)</f>
        <v>31683.896158502739</v>
      </c>
      <c r="C40" s="67">
        <f t="shared" ref="C40:AH40" si="10">C27*C17</f>
        <v>1270.9227363176485</v>
      </c>
      <c r="D40" s="65">
        <f t="shared" si="10"/>
        <v>1244.6029873686548</v>
      </c>
      <c r="E40" s="65">
        <f t="shared" si="10"/>
        <v>1241.9750114323103</v>
      </c>
      <c r="F40" s="65">
        <f t="shared" si="10"/>
        <v>1226.6784885867767</v>
      </c>
      <c r="G40" s="65">
        <f t="shared" si="10"/>
        <v>1253.4474035664605</v>
      </c>
      <c r="H40" s="65">
        <f t="shared" si="10"/>
        <v>1280.6553854055996</v>
      </c>
      <c r="I40" s="65">
        <f t="shared" si="10"/>
        <v>1308.4075268815216</v>
      </c>
      <c r="J40" s="65">
        <f t="shared" si="10"/>
        <v>1336.7147111869619</v>
      </c>
      <c r="K40" s="65">
        <f t="shared" si="10"/>
        <v>1365.5880391785111</v>
      </c>
      <c r="L40" s="65">
        <f t="shared" si="10"/>
        <v>1395.0388337298909</v>
      </c>
      <c r="M40" s="65">
        <f t="shared" si="10"/>
        <v>1425.0786441722987</v>
      </c>
      <c r="N40" s="65">
        <f t="shared" si="10"/>
        <v>1455.7192508235546</v>
      </c>
      <c r="O40" s="65">
        <f t="shared" si="10"/>
        <v>1486.9726696078358</v>
      </c>
      <c r="P40" s="65">
        <f t="shared" si="10"/>
        <v>1518.8511567678022</v>
      </c>
      <c r="Q40" s="65">
        <f t="shared" si="10"/>
        <v>1551.3672136709681</v>
      </c>
      <c r="R40" s="65">
        <f t="shared" si="10"/>
        <v>1584.5335917121972</v>
      </c>
      <c r="S40" s="65">
        <f t="shared" si="10"/>
        <v>1618.363297314251</v>
      </c>
      <c r="T40" s="65">
        <f t="shared" si="10"/>
        <v>1652.8695970283461</v>
      </c>
      <c r="U40" s="65">
        <f t="shared" si="10"/>
        <v>1688.066022736723</v>
      </c>
      <c r="V40" s="65">
        <f t="shared" si="10"/>
        <v>1723.9663769592673</v>
      </c>
      <c r="W40" s="65">
        <f t="shared" si="10"/>
        <v>1760.5847382662628</v>
      </c>
      <c r="X40" s="65">
        <f t="shared" si="10"/>
        <v>1293.4924757889007</v>
      </c>
      <c r="Y40" s="65">
        <f t="shared" si="10"/>
        <v>0</v>
      </c>
      <c r="Z40" s="65">
        <f t="shared" si="10"/>
        <v>0</v>
      </c>
      <c r="AA40" s="65">
        <f t="shared" si="10"/>
        <v>0</v>
      </c>
      <c r="AB40" s="65">
        <f t="shared" si="10"/>
        <v>0</v>
      </c>
      <c r="AC40" s="65">
        <f t="shared" si="10"/>
        <v>0</v>
      </c>
      <c r="AD40" s="65">
        <f t="shared" si="10"/>
        <v>0</v>
      </c>
      <c r="AE40" s="65">
        <f t="shared" si="10"/>
        <v>0</v>
      </c>
      <c r="AF40" s="65">
        <f t="shared" si="10"/>
        <v>0</v>
      </c>
      <c r="AG40" s="65">
        <f t="shared" si="10"/>
        <v>0</v>
      </c>
      <c r="AH40" s="65">
        <f t="shared" si="10"/>
        <v>0</v>
      </c>
      <c r="AI40" s="65">
        <f t="shared" ref="AI40:BO40" si="11">AI27*AI17</f>
        <v>0</v>
      </c>
      <c r="AJ40" s="65">
        <f t="shared" si="11"/>
        <v>0</v>
      </c>
      <c r="AK40" s="65">
        <f t="shared" si="11"/>
        <v>0</v>
      </c>
      <c r="AL40" s="65">
        <f t="shared" si="11"/>
        <v>0</v>
      </c>
      <c r="AM40" s="65">
        <f t="shared" si="11"/>
        <v>0</v>
      </c>
      <c r="AN40" s="65">
        <f t="shared" si="11"/>
        <v>0</v>
      </c>
      <c r="AO40" s="65">
        <f t="shared" si="11"/>
        <v>0</v>
      </c>
      <c r="AP40" s="65">
        <f t="shared" si="11"/>
        <v>0</v>
      </c>
      <c r="AQ40" s="65">
        <f t="shared" si="11"/>
        <v>0</v>
      </c>
      <c r="AR40" s="65">
        <f t="shared" si="11"/>
        <v>0</v>
      </c>
      <c r="AS40" s="65">
        <f t="shared" si="11"/>
        <v>0</v>
      </c>
      <c r="AT40" s="65">
        <f t="shared" si="11"/>
        <v>0</v>
      </c>
      <c r="AU40" s="65">
        <f t="shared" si="11"/>
        <v>0</v>
      </c>
      <c r="AV40" s="65">
        <f t="shared" si="11"/>
        <v>0</v>
      </c>
      <c r="AW40" s="65">
        <f t="shared" si="11"/>
        <v>0</v>
      </c>
      <c r="AX40" s="65">
        <f t="shared" si="11"/>
        <v>0</v>
      </c>
      <c r="AY40" s="65">
        <f t="shared" si="11"/>
        <v>0</v>
      </c>
      <c r="AZ40" s="65">
        <f t="shared" si="11"/>
        <v>0</v>
      </c>
      <c r="BA40" s="65">
        <f t="shared" si="11"/>
        <v>0</v>
      </c>
      <c r="BB40" s="65">
        <f t="shared" si="11"/>
        <v>0</v>
      </c>
      <c r="BC40" s="65">
        <f t="shared" si="11"/>
        <v>0</v>
      </c>
      <c r="BD40" s="65">
        <f t="shared" si="11"/>
        <v>0</v>
      </c>
      <c r="BE40" s="65">
        <f t="shared" si="11"/>
        <v>0</v>
      </c>
      <c r="BF40" s="65">
        <f t="shared" si="11"/>
        <v>0</v>
      </c>
      <c r="BG40" s="65">
        <f t="shared" si="11"/>
        <v>0</v>
      </c>
      <c r="BH40" s="65">
        <f t="shared" si="11"/>
        <v>0</v>
      </c>
      <c r="BI40" s="65">
        <f t="shared" si="11"/>
        <v>0</v>
      </c>
      <c r="BJ40" s="65">
        <f t="shared" si="11"/>
        <v>0</v>
      </c>
      <c r="BK40" s="65">
        <f t="shared" si="11"/>
        <v>0</v>
      </c>
      <c r="BL40" s="65">
        <f t="shared" si="11"/>
        <v>0</v>
      </c>
      <c r="BM40" s="65">
        <f t="shared" si="11"/>
        <v>0</v>
      </c>
      <c r="BN40" s="65">
        <f t="shared" si="11"/>
        <v>0</v>
      </c>
      <c r="BO40" s="65">
        <f t="shared" si="11"/>
        <v>0</v>
      </c>
    </row>
    <row r="41" spans="1:67" ht="15" customHeight="1" x14ac:dyDescent="0.2">
      <c r="A41" s="14" t="s">
        <v>210</v>
      </c>
      <c r="B41" s="68">
        <f t="shared" si="9"/>
        <v>19983.309425986256</v>
      </c>
      <c r="C41" s="65">
        <f t="shared" ref="C41:AH41" si="12">C28*C18</f>
        <v>790.35075348986572</v>
      </c>
      <c r="D41" s="65">
        <f t="shared" si="12"/>
        <v>784.4721467448162</v>
      </c>
      <c r="E41" s="65">
        <f t="shared" si="12"/>
        <v>782.9564904520505</v>
      </c>
      <c r="F41" s="65">
        <f t="shared" si="12"/>
        <v>773.65536850606077</v>
      </c>
      <c r="G41" s="65">
        <f t="shared" si="12"/>
        <v>790.58550058752519</v>
      </c>
      <c r="H41" s="65">
        <f t="shared" si="12"/>
        <v>807.81661279488242</v>
      </c>
      <c r="I41" s="65">
        <f t="shared" si="12"/>
        <v>825.39234724638663</v>
      </c>
      <c r="J41" s="65">
        <f t="shared" si="12"/>
        <v>843.31959638692103</v>
      </c>
      <c r="K41" s="65">
        <f t="shared" si="12"/>
        <v>861.60539051026615</v>
      </c>
      <c r="L41" s="65">
        <f t="shared" si="12"/>
        <v>880.25690051607819</v>
      </c>
      <c r="M41" s="65">
        <f t="shared" si="12"/>
        <v>899.28144072200644</v>
      </c>
      <c r="N41" s="65">
        <f t="shared" si="12"/>
        <v>918.68647173205329</v>
      </c>
      <c r="O41" s="65">
        <f t="shared" si="12"/>
        <v>938.47960336230096</v>
      </c>
      <c r="P41" s="65">
        <f t="shared" si="12"/>
        <v>958.66859762515367</v>
      </c>
      <c r="Q41" s="65">
        <f t="shared" si="12"/>
        <v>979.26137177326336</v>
      </c>
      <c r="R41" s="65">
        <f t="shared" si="12"/>
        <v>1000.2660014043354</v>
      </c>
      <c r="S41" s="65">
        <f t="shared" si="12"/>
        <v>1021.6907236280288</v>
      </c>
      <c r="T41" s="65">
        <f t="shared" si="12"/>
        <v>1043.5439402961961</v>
      </c>
      <c r="U41" s="65">
        <f t="shared" si="12"/>
        <v>1065.8342212977266</v>
      </c>
      <c r="V41" s="65">
        <f t="shared" si="12"/>
        <v>1088.5703079192876</v>
      </c>
      <c r="W41" s="65">
        <f t="shared" si="12"/>
        <v>1111.7611162732801</v>
      </c>
      <c r="X41" s="65">
        <f t="shared" si="12"/>
        <v>816.85452271777115</v>
      </c>
      <c r="Y41" s="65">
        <f t="shared" si="12"/>
        <v>0</v>
      </c>
      <c r="Z41" s="65">
        <f t="shared" si="12"/>
        <v>0</v>
      </c>
      <c r="AA41" s="65">
        <f t="shared" si="12"/>
        <v>0</v>
      </c>
      <c r="AB41" s="65">
        <f t="shared" si="12"/>
        <v>0</v>
      </c>
      <c r="AC41" s="65">
        <f t="shared" si="12"/>
        <v>0</v>
      </c>
      <c r="AD41" s="65">
        <f t="shared" si="12"/>
        <v>0</v>
      </c>
      <c r="AE41" s="65">
        <f t="shared" si="12"/>
        <v>0</v>
      </c>
      <c r="AF41" s="65">
        <f t="shared" si="12"/>
        <v>0</v>
      </c>
      <c r="AG41" s="65">
        <f t="shared" si="12"/>
        <v>0</v>
      </c>
      <c r="AH41" s="65">
        <f t="shared" si="12"/>
        <v>0</v>
      </c>
      <c r="AI41" s="65">
        <f t="shared" ref="AI41:BO41" si="13">AI28*AI18</f>
        <v>0</v>
      </c>
      <c r="AJ41" s="65">
        <f t="shared" si="13"/>
        <v>0</v>
      </c>
      <c r="AK41" s="65">
        <f t="shared" si="13"/>
        <v>0</v>
      </c>
      <c r="AL41" s="65">
        <f t="shared" si="13"/>
        <v>0</v>
      </c>
      <c r="AM41" s="65">
        <f t="shared" si="13"/>
        <v>0</v>
      </c>
      <c r="AN41" s="65">
        <f t="shared" si="13"/>
        <v>0</v>
      </c>
      <c r="AO41" s="65">
        <f t="shared" si="13"/>
        <v>0</v>
      </c>
      <c r="AP41" s="65">
        <f t="shared" si="13"/>
        <v>0</v>
      </c>
      <c r="AQ41" s="65">
        <f t="shared" si="13"/>
        <v>0</v>
      </c>
      <c r="AR41" s="65">
        <f t="shared" si="13"/>
        <v>0</v>
      </c>
      <c r="AS41" s="65">
        <f t="shared" si="13"/>
        <v>0</v>
      </c>
      <c r="AT41" s="65">
        <f t="shared" si="13"/>
        <v>0</v>
      </c>
      <c r="AU41" s="65">
        <f t="shared" si="13"/>
        <v>0</v>
      </c>
      <c r="AV41" s="65">
        <f t="shared" si="13"/>
        <v>0</v>
      </c>
      <c r="AW41" s="65">
        <f t="shared" si="13"/>
        <v>0</v>
      </c>
      <c r="AX41" s="65">
        <f t="shared" si="13"/>
        <v>0</v>
      </c>
      <c r="AY41" s="65">
        <f t="shared" si="13"/>
        <v>0</v>
      </c>
      <c r="AZ41" s="65">
        <f t="shared" si="13"/>
        <v>0</v>
      </c>
      <c r="BA41" s="65">
        <f t="shared" si="13"/>
        <v>0</v>
      </c>
      <c r="BB41" s="65">
        <f t="shared" si="13"/>
        <v>0</v>
      </c>
      <c r="BC41" s="65">
        <f t="shared" si="13"/>
        <v>0</v>
      </c>
      <c r="BD41" s="65">
        <f t="shared" si="13"/>
        <v>0</v>
      </c>
      <c r="BE41" s="65">
        <f t="shared" si="13"/>
        <v>0</v>
      </c>
      <c r="BF41" s="65">
        <f t="shared" si="13"/>
        <v>0</v>
      </c>
      <c r="BG41" s="65">
        <f t="shared" si="13"/>
        <v>0</v>
      </c>
      <c r="BH41" s="65">
        <f t="shared" si="13"/>
        <v>0</v>
      </c>
      <c r="BI41" s="65">
        <f t="shared" si="13"/>
        <v>0</v>
      </c>
      <c r="BJ41" s="65">
        <f t="shared" si="13"/>
        <v>0</v>
      </c>
      <c r="BK41" s="65">
        <f t="shared" si="13"/>
        <v>0</v>
      </c>
      <c r="BL41" s="65">
        <f t="shared" si="13"/>
        <v>0</v>
      </c>
      <c r="BM41" s="65">
        <f t="shared" si="13"/>
        <v>0</v>
      </c>
      <c r="BN41" s="65">
        <f t="shared" si="13"/>
        <v>0</v>
      </c>
      <c r="BO41" s="65">
        <f t="shared" si="13"/>
        <v>0</v>
      </c>
    </row>
    <row r="42" spans="1:67" ht="15" customHeight="1" x14ac:dyDescent="0.2">
      <c r="A42" s="14" t="s">
        <v>211</v>
      </c>
      <c r="B42" s="68">
        <f t="shared" si="9"/>
        <v>21822.880835590611</v>
      </c>
      <c r="C42" s="65">
        <f t="shared" ref="C42:AH42" si="14">C29*C19</f>
        <v>866.51389131612245</v>
      </c>
      <c r="D42" s="65">
        <f t="shared" si="14"/>
        <v>860.24853412731966</v>
      </c>
      <c r="E42" s="65">
        <f t="shared" si="14"/>
        <v>858.63316360476665</v>
      </c>
      <c r="F42" s="65">
        <f t="shared" si="14"/>
        <v>848.72012574127768</v>
      </c>
      <c r="G42" s="65">
        <f t="shared" si="14"/>
        <v>866.76408230178583</v>
      </c>
      <c r="H42" s="65">
        <f t="shared" si="14"/>
        <v>885.12882031225854</v>
      </c>
      <c r="I42" s="65">
        <f t="shared" si="14"/>
        <v>903.86085308294071</v>
      </c>
      <c r="J42" s="65">
        <f t="shared" si="14"/>
        <v>922.96752650903659</v>
      </c>
      <c r="K42" s="65">
        <f t="shared" si="14"/>
        <v>942.45633340365453</v>
      </c>
      <c r="L42" s="65">
        <f t="shared" si="14"/>
        <v>962.33491643616469</v>
      </c>
      <c r="M42" s="65">
        <f t="shared" si="14"/>
        <v>982.61107112932496</v>
      </c>
      <c r="N42" s="65">
        <f t="shared" si="14"/>
        <v>1003.2927489163486</v>
      </c>
      <c r="O42" s="65">
        <f t="shared" si="14"/>
        <v>1024.3880602591125</v>
      </c>
      <c r="P42" s="65">
        <f t="shared" si="14"/>
        <v>1045.9052778287319</v>
      </c>
      <c r="Q42" s="65">
        <f t="shared" si="14"/>
        <v>1067.8528397497437</v>
      </c>
      <c r="R42" s="65">
        <f t="shared" si="14"/>
        <v>1090.2393529091755</v>
      </c>
      <c r="S42" s="65">
        <f t="shared" si="14"/>
        <v>1113.0735963317961</v>
      </c>
      <c r="T42" s="65">
        <f t="shared" si="14"/>
        <v>1136.3645246228691</v>
      </c>
      <c r="U42" s="65">
        <f t="shared" si="14"/>
        <v>1160.1212714797637</v>
      </c>
      <c r="V42" s="65">
        <f t="shared" si="14"/>
        <v>1184.3531532737959</v>
      </c>
      <c r="W42" s="65">
        <f t="shared" si="14"/>
        <v>1209.0696727037089</v>
      </c>
      <c r="X42" s="65">
        <f t="shared" si="14"/>
        <v>887.98101955091749</v>
      </c>
      <c r="Y42" s="65">
        <f t="shared" si="14"/>
        <v>0</v>
      </c>
      <c r="Z42" s="65">
        <f t="shared" si="14"/>
        <v>0</v>
      </c>
      <c r="AA42" s="65">
        <f t="shared" si="14"/>
        <v>0</v>
      </c>
      <c r="AB42" s="65">
        <f t="shared" si="14"/>
        <v>0</v>
      </c>
      <c r="AC42" s="65">
        <f t="shared" si="14"/>
        <v>0</v>
      </c>
      <c r="AD42" s="65">
        <f t="shared" si="14"/>
        <v>0</v>
      </c>
      <c r="AE42" s="65">
        <f t="shared" si="14"/>
        <v>0</v>
      </c>
      <c r="AF42" s="65">
        <f t="shared" si="14"/>
        <v>0</v>
      </c>
      <c r="AG42" s="65">
        <f t="shared" si="14"/>
        <v>0</v>
      </c>
      <c r="AH42" s="65">
        <f t="shared" si="14"/>
        <v>0</v>
      </c>
      <c r="AI42" s="65">
        <f t="shared" ref="AI42:BO42" si="15">AI29*AI19</f>
        <v>0</v>
      </c>
      <c r="AJ42" s="65">
        <f t="shared" si="15"/>
        <v>0</v>
      </c>
      <c r="AK42" s="65">
        <f t="shared" si="15"/>
        <v>0</v>
      </c>
      <c r="AL42" s="65">
        <f t="shared" si="15"/>
        <v>0</v>
      </c>
      <c r="AM42" s="65">
        <f t="shared" si="15"/>
        <v>0</v>
      </c>
      <c r="AN42" s="65">
        <f t="shared" si="15"/>
        <v>0</v>
      </c>
      <c r="AO42" s="65">
        <f t="shared" si="15"/>
        <v>0</v>
      </c>
      <c r="AP42" s="65">
        <f t="shared" si="15"/>
        <v>0</v>
      </c>
      <c r="AQ42" s="65">
        <f t="shared" si="15"/>
        <v>0</v>
      </c>
      <c r="AR42" s="65">
        <f t="shared" si="15"/>
        <v>0</v>
      </c>
      <c r="AS42" s="65">
        <f t="shared" si="15"/>
        <v>0</v>
      </c>
      <c r="AT42" s="65">
        <f t="shared" si="15"/>
        <v>0</v>
      </c>
      <c r="AU42" s="65">
        <f t="shared" si="15"/>
        <v>0</v>
      </c>
      <c r="AV42" s="65">
        <f t="shared" si="15"/>
        <v>0</v>
      </c>
      <c r="AW42" s="65">
        <f t="shared" si="15"/>
        <v>0</v>
      </c>
      <c r="AX42" s="65">
        <f t="shared" si="15"/>
        <v>0</v>
      </c>
      <c r="AY42" s="65">
        <f t="shared" si="15"/>
        <v>0</v>
      </c>
      <c r="AZ42" s="65">
        <f t="shared" si="15"/>
        <v>0</v>
      </c>
      <c r="BA42" s="65">
        <f t="shared" si="15"/>
        <v>0</v>
      </c>
      <c r="BB42" s="65">
        <f t="shared" si="15"/>
        <v>0</v>
      </c>
      <c r="BC42" s="65">
        <f t="shared" si="15"/>
        <v>0</v>
      </c>
      <c r="BD42" s="65">
        <f t="shared" si="15"/>
        <v>0</v>
      </c>
      <c r="BE42" s="65">
        <f t="shared" si="15"/>
        <v>0</v>
      </c>
      <c r="BF42" s="65">
        <f t="shared" si="15"/>
        <v>0</v>
      </c>
      <c r="BG42" s="65">
        <f t="shared" si="15"/>
        <v>0</v>
      </c>
      <c r="BH42" s="65">
        <f t="shared" si="15"/>
        <v>0</v>
      </c>
      <c r="BI42" s="65">
        <f t="shared" si="15"/>
        <v>0</v>
      </c>
      <c r="BJ42" s="65">
        <f t="shared" si="15"/>
        <v>0</v>
      </c>
      <c r="BK42" s="65">
        <f t="shared" si="15"/>
        <v>0</v>
      </c>
      <c r="BL42" s="65">
        <f t="shared" si="15"/>
        <v>0</v>
      </c>
      <c r="BM42" s="65">
        <f t="shared" si="15"/>
        <v>0</v>
      </c>
      <c r="BN42" s="65">
        <f t="shared" si="15"/>
        <v>0</v>
      </c>
      <c r="BO42" s="65">
        <f t="shared" si="15"/>
        <v>0</v>
      </c>
    </row>
    <row r="43" spans="1:67" ht="15" customHeight="1" x14ac:dyDescent="0.2">
      <c r="A43" s="14" t="s">
        <v>212</v>
      </c>
      <c r="B43" s="68">
        <f t="shared" si="9"/>
        <v>330134.27914625598</v>
      </c>
      <c r="C43" s="65">
        <f t="shared" ref="C43:AH43" si="16">C30*C20</f>
        <v>6255.4322436073908</v>
      </c>
      <c r="D43" s="65">
        <f t="shared" si="16"/>
        <v>6205.295201287825</v>
      </c>
      <c r="E43" s="65">
        <f t="shared" si="16"/>
        <v>6192.3685798981051</v>
      </c>
      <c r="F43" s="65">
        <f t="shared" si="16"/>
        <v>6113.041833808441</v>
      </c>
      <c r="G43" s="65">
        <f t="shared" si="16"/>
        <v>6257.4343379267057</v>
      </c>
      <c r="H43" s="65">
        <f t="shared" si="16"/>
        <v>6404.3938198959631</v>
      </c>
      <c r="I43" s="65">
        <f t="shared" si="16"/>
        <v>6554.2924915046033</v>
      </c>
      <c r="J43" s="65">
        <f t="shared" si="16"/>
        <v>6707.1891365454203</v>
      </c>
      <c r="K43" s="65">
        <f t="shared" si="16"/>
        <v>6863.1437144870524</v>
      </c>
      <c r="L43" s="65">
        <f t="shared" si="16"/>
        <v>7022.2173839875168</v>
      </c>
      <c r="M43" s="65">
        <f t="shared" si="16"/>
        <v>7184.4725268779885</v>
      </c>
      <c r="N43" s="65">
        <f t="shared" si="16"/>
        <v>7349.9727726262718</v>
      </c>
      <c r="O43" s="65">
        <f t="shared" si="16"/>
        <v>7518.7830232895212</v>
      </c>
      <c r="P43" s="65">
        <f t="shared" si="16"/>
        <v>7690.9694789660334</v>
      </c>
      <c r="Q43" s="65">
        <f t="shared" si="16"/>
        <v>7866.5996637560775</v>
      </c>
      <c r="R43" s="65">
        <f t="shared" si="16"/>
        <v>8045.7424522419233</v>
      </c>
      <c r="S43" s="65">
        <f t="shared" si="16"/>
        <v>8228.4680964974832</v>
      </c>
      <c r="T43" s="65">
        <f t="shared" si="16"/>
        <v>8414.848253638158</v>
      </c>
      <c r="U43" s="65">
        <f t="shared" si="16"/>
        <v>8604.9560139216428</v>
      </c>
      <c r="V43" s="65">
        <f t="shared" si="16"/>
        <v>8798.8659294108002</v>
      </c>
      <c r="W43" s="65">
        <f t="shared" si="16"/>
        <v>8996.654043209739</v>
      </c>
      <c r="X43" s="65">
        <f t="shared" si="16"/>
        <v>9198.3979192846564</v>
      </c>
      <c r="Y43" s="65">
        <f t="shared" si="16"/>
        <v>9404.1766728810708</v>
      </c>
      <c r="Z43" s="65">
        <f t="shared" si="16"/>
        <v>9614.0710015494151</v>
      </c>
      <c r="AA43" s="65">
        <f t="shared" si="16"/>
        <v>9828.1632167911266</v>
      </c>
      <c r="AB43" s="65">
        <f t="shared" si="16"/>
        <v>10046.537276337673</v>
      </c>
      <c r="AC43" s="65">
        <f t="shared" si="16"/>
        <v>10269.278817075148</v>
      </c>
      <c r="AD43" s="65">
        <f t="shared" si="16"/>
        <v>10496.475188627373</v>
      </c>
      <c r="AE43" s="65">
        <f t="shared" si="16"/>
        <v>10728.215487610645</v>
      </c>
      <c r="AF43" s="65">
        <f t="shared" si="16"/>
        <v>10964.590592573581</v>
      </c>
      <c r="AG43" s="65">
        <f t="shared" si="16"/>
        <v>11205.693199635778</v>
      </c>
      <c r="AH43" s="65">
        <f t="shared" si="16"/>
        <v>11451.617858839216</v>
      </c>
      <c r="AI43" s="65">
        <f t="shared" ref="AI43:BO43" si="17">AI30*AI20</f>
        <v>11702.461011226726</v>
      </c>
      <c r="AJ43" s="65">
        <f t="shared" si="17"/>
        <v>11958.321026661981</v>
      </c>
      <c r="AK43" s="65">
        <f t="shared" si="17"/>
        <v>12219.298242405945</v>
      </c>
      <c r="AL43" s="65">
        <f t="shared" si="17"/>
        <v>12485.495002464786</v>
      </c>
      <c r="AM43" s="65">
        <f t="shared" si="17"/>
        <v>12757.015697724806</v>
      </c>
      <c r="AN43" s="65">
        <f t="shared" si="17"/>
        <v>2529.329937181516</v>
      </c>
      <c r="AO43" s="65">
        <f t="shared" si="17"/>
        <v>0</v>
      </c>
      <c r="AP43" s="65">
        <f t="shared" si="17"/>
        <v>0</v>
      </c>
      <c r="AQ43" s="65">
        <f t="shared" si="17"/>
        <v>0</v>
      </c>
      <c r="AR43" s="65">
        <f t="shared" si="17"/>
        <v>0</v>
      </c>
      <c r="AS43" s="65">
        <f t="shared" si="17"/>
        <v>0</v>
      </c>
      <c r="AT43" s="65">
        <f t="shared" si="17"/>
        <v>0</v>
      </c>
      <c r="AU43" s="65">
        <f t="shared" si="17"/>
        <v>0</v>
      </c>
      <c r="AV43" s="65">
        <f t="shared" si="17"/>
        <v>0</v>
      </c>
      <c r="AW43" s="65">
        <f t="shared" si="17"/>
        <v>0</v>
      </c>
      <c r="AX43" s="65">
        <f t="shared" si="17"/>
        <v>0</v>
      </c>
      <c r="AY43" s="65">
        <f t="shared" si="17"/>
        <v>0</v>
      </c>
      <c r="AZ43" s="65">
        <f t="shared" si="17"/>
        <v>0</v>
      </c>
      <c r="BA43" s="65">
        <f t="shared" si="17"/>
        <v>0</v>
      </c>
      <c r="BB43" s="65">
        <f t="shared" si="17"/>
        <v>0</v>
      </c>
      <c r="BC43" s="65">
        <f t="shared" si="17"/>
        <v>0</v>
      </c>
      <c r="BD43" s="65">
        <f t="shared" si="17"/>
        <v>0</v>
      </c>
      <c r="BE43" s="65">
        <f t="shared" si="17"/>
        <v>0</v>
      </c>
      <c r="BF43" s="65">
        <f t="shared" si="17"/>
        <v>0</v>
      </c>
      <c r="BG43" s="65">
        <f t="shared" si="17"/>
        <v>0</v>
      </c>
      <c r="BH43" s="65">
        <f t="shared" si="17"/>
        <v>0</v>
      </c>
      <c r="BI43" s="65">
        <f t="shared" si="17"/>
        <v>0</v>
      </c>
      <c r="BJ43" s="65">
        <f t="shared" si="17"/>
        <v>0</v>
      </c>
      <c r="BK43" s="65">
        <f t="shared" si="17"/>
        <v>0</v>
      </c>
      <c r="BL43" s="65">
        <f t="shared" si="17"/>
        <v>0</v>
      </c>
      <c r="BM43" s="65">
        <f t="shared" si="17"/>
        <v>0</v>
      </c>
      <c r="BN43" s="65">
        <f t="shared" si="17"/>
        <v>0</v>
      </c>
      <c r="BO43" s="65">
        <f t="shared" si="17"/>
        <v>0</v>
      </c>
    </row>
    <row r="44" spans="1:67" ht="15" customHeight="1" x14ac:dyDescent="0.2">
      <c r="A44" s="14" t="s">
        <v>213</v>
      </c>
      <c r="B44" s="68">
        <f t="shared" si="9"/>
        <v>79028.191983413824</v>
      </c>
      <c r="C44" s="65">
        <f t="shared" ref="C44:AH44" si="18">C31*C21</f>
        <v>1261.2517348922875</v>
      </c>
      <c r="D44" s="65">
        <f t="shared" si="18"/>
        <v>1249.4602698854997</v>
      </c>
      <c r="E44" s="65">
        <f t="shared" si="18"/>
        <v>1246.420126376408</v>
      </c>
      <c r="F44" s="65">
        <f t="shared" si="18"/>
        <v>1227.763689790926</v>
      </c>
      <c r="G44" s="65">
        <f t="shared" si="18"/>
        <v>1261.7225968341629</v>
      </c>
      <c r="H44" s="65">
        <f t="shared" si="18"/>
        <v>1296.2852177803911</v>
      </c>
      <c r="I44" s="65">
        <f t="shared" si="18"/>
        <v>1331.5390911455436</v>
      </c>
      <c r="J44" s="65">
        <f t="shared" si="18"/>
        <v>1367.4980419779993</v>
      </c>
      <c r="K44" s="65">
        <f t="shared" si="18"/>
        <v>1404.1761718271041</v>
      </c>
      <c r="L44" s="65">
        <f t="shared" si="18"/>
        <v>1441.5878642731911</v>
      </c>
      <c r="M44" s="65">
        <f t="shared" si="18"/>
        <v>1479.7477905681997</v>
      </c>
      <c r="N44" s="65">
        <f t="shared" si="18"/>
        <v>1518.6709153891084</v>
      </c>
      <c r="O44" s="65">
        <f t="shared" si="18"/>
        <v>1558.3725027064354</v>
      </c>
      <c r="P44" s="65">
        <f t="shared" si="18"/>
        <v>1598.8681217701087</v>
      </c>
      <c r="Q44" s="65">
        <f t="shared" si="18"/>
        <v>1640.1736532150558</v>
      </c>
      <c r="R44" s="65">
        <f t="shared" si="18"/>
        <v>1682.3052952889016</v>
      </c>
      <c r="S44" s="65">
        <f t="shared" si="18"/>
        <v>1725.2795702042245</v>
      </c>
      <c r="T44" s="65">
        <f t="shared" si="18"/>
        <v>1769.1133306178538</v>
      </c>
      <c r="U44" s="65">
        <f t="shared" si="18"/>
        <v>1813.8237662397555</v>
      </c>
      <c r="V44" s="65">
        <f t="shared" si="18"/>
        <v>1859.4284105740953</v>
      </c>
      <c r="W44" s="65">
        <f t="shared" si="18"/>
        <v>1905.945147795122</v>
      </c>
      <c r="X44" s="65">
        <f t="shared" si="18"/>
        <v>1953.3922197605691</v>
      </c>
      <c r="Y44" s="65">
        <f t="shared" si="18"/>
        <v>2001.7882331653252</v>
      </c>
      <c r="Z44" s="65">
        <f t="shared" si="18"/>
        <v>2051.1521668381765</v>
      </c>
      <c r="AA44" s="65">
        <f t="shared" si="18"/>
        <v>2101.5033791844844</v>
      </c>
      <c r="AB44" s="65">
        <f t="shared" si="18"/>
        <v>2152.8616157777192</v>
      </c>
      <c r="AC44" s="65">
        <f t="shared" si="18"/>
        <v>2205.2470171028181</v>
      </c>
      <c r="AD44" s="65">
        <f t="shared" si="18"/>
        <v>2258.6801264544192</v>
      </c>
      <c r="AE44" s="65">
        <f t="shared" si="18"/>
        <v>2313.1818979930526</v>
      </c>
      <c r="AF44" s="65">
        <f t="shared" si="18"/>
        <v>2368.7737049624584</v>
      </c>
      <c r="AG44" s="65">
        <f t="shared" si="18"/>
        <v>2425.4773480712529</v>
      </c>
      <c r="AH44" s="65">
        <f t="shared" si="18"/>
        <v>2483.3150640422227</v>
      </c>
      <c r="AI44" s="65">
        <f t="shared" ref="AI44:BO44" si="19">AI31*AI21</f>
        <v>2542.3095343326122</v>
      </c>
      <c r="AJ44" s="65">
        <f t="shared" si="19"/>
        <v>2602.4838940288091</v>
      </c>
      <c r="AK44" s="65">
        <f t="shared" si="19"/>
        <v>2663.8617409189301</v>
      </c>
      <c r="AL44" s="65">
        <f t="shared" si="19"/>
        <v>2726.4671447468536</v>
      </c>
      <c r="AM44" s="65">
        <f t="shared" si="19"/>
        <v>2790.3246566513353</v>
      </c>
      <c r="AN44" s="65">
        <f t="shared" si="19"/>
        <v>2855.4593187939067</v>
      </c>
      <c r="AO44" s="65">
        <f t="shared" si="19"/>
        <v>2921.8966741793297</v>
      </c>
      <c r="AP44" s="65">
        <f t="shared" si="19"/>
        <v>2989.662776672461</v>
      </c>
      <c r="AQ44" s="65">
        <f t="shared" si="19"/>
        <v>980.92016058471904</v>
      </c>
      <c r="AR44" s="65">
        <f t="shared" si="19"/>
        <v>0</v>
      </c>
      <c r="AS44" s="65">
        <f t="shared" si="19"/>
        <v>0</v>
      </c>
      <c r="AT44" s="65">
        <f t="shared" si="19"/>
        <v>0</v>
      </c>
      <c r="AU44" s="65">
        <f t="shared" si="19"/>
        <v>0</v>
      </c>
      <c r="AV44" s="65">
        <f t="shared" si="19"/>
        <v>0</v>
      </c>
      <c r="AW44" s="65">
        <f t="shared" si="19"/>
        <v>0</v>
      </c>
      <c r="AX44" s="65">
        <f t="shared" si="19"/>
        <v>0</v>
      </c>
      <c r="AY44" s="65">
        <f t="shared" si="19"/>
        <v>0</v>
      </c>
      <c r="AZ44" s="65">
        <f t="shared" si="19"/>
        <v>0</v>
      </c>
      <c r="BA44" s="65">
        <f t="shared" si="19"/>
        <v>0</v>
      </c>
      <c r="BB44" s="65">
        <f t="shared" si="19"/>
        <v>0</v>
      </c>
      <c r="BC44" s="65">
        <f t="shared" si="19"/>
        <v>0</v>
      </c>
      <c r="BD44" s="65">
        <f t="shared" si="19"/>
        <v>0</v>
      </c>
      <c r="BE44" s="65">
        <f t="shared" si="19"/>
        <v>0</v>
      </c>
      <c r="BF44" s="65">
        <f t="shared" si="19"/>
        <v>0</v>
      </c>
      <c r="BG44" s="65">
        <f t="shared" si="19"/>
        <v>0</v>
      </c>
      <c r="BH44" s="65">
        <f t="shared" si="19"/>
        <v>0</v>
      </c>
      <c r="BI44" s="65">
        <f t="shared" si="19"/>
        <v>0</v>
      </c>
      <c r="BJ44" s="65">
        <f t="shared" si="19"/>
        <v>0</v>
      </c>
      <c r="BK44" s="65">
        <f t="shared" si="19"/>
        <v>0</v>
      </c>
      <c r="BL44" s="65">
        <f t="shared" si="19"/>
        <v>0</v>
      </c>
      <c r="BM44" s="65">
        <f t="shared" si="19"/>
        <v>0</v>
      </c>
      <c r="BN44" s="65">
        <f t="shared" si="19"/>
        <v>0</v>
      </c>
      <c r="BO44" s="65">
        <f t="shared" si="19"/>
        <v>0</v>
      </c>
    </row>
    <row r="45" spans="1:67" ht="15" customHeight="1" x14ac:dyDescent="0.2">
      <c r="A45" s="14" t="s">
        <v>214</v>
      </c>
      <c r="B45" s="68">
        <f t="shared" si="9"/>
        <v>938438.01283928193</v>
      </c>
      <c r="C45" s="65">
        <f t="shared" ref="C45:AH45" si="20">C32*C22</f>
        <v>16649.683435387764</v>
      </c>
      <c r="D45" s="65">
        <f t="shared" si="20"/>
        <v>16322.36016428503</v>
      </c>
      <c r="E45" s="65">
        <f t="shared" si="20"/>
        <v>16289.67756987539</v>
      </c>
      <c r="F45" s="65">
        <f t="shared" si="20"/>
        <v>16099.443692493014</v>
      </c>
      <c r="G45" s="65">
        <f t="shared" si="20"/>
        <v>16432.352977912171</v>
      </c>
      <c r="H45" s="65">
        <f t="shared" si="20"/>
        <v>16770.722680182116</v>
      </c>
      <c r="I45" s="65">
        <f t="shared" si="20"/>
        <v>17115.859776497462</v>
      </c>
      <c r="J45" s="65">
        <f t="shared" si="20"/>
        <v>17467.899614739112</v>
      </c>
      <c r="K45" s="65">
        <f t="shared" si="20"/>
        <v>17826.980249745597</v>
      </c>
      <c r="L45" s="65">
        <f t="shared" si="20"/>
        <v>18193.242497452211</v>
      </c>
      <c r="M45" s="65">
        <f t="shared" si="20"/>
        <v>18566.829990112958</v>
      </c>
      <c r="N45" s="65">
        <f t="shared" si="20"/>
        <v>18947.88923262692</v>
      </c>
      <c r="O45" s="65">
        <f t="shared" si="20"/>
        <v>19336.569659991161</v>
      </c>
      <c r="P45" s="65">
        <f t="shared" si="20"/>
        <v>19733.023695902684</v>
      </c>
      <c r="Q45" s="65">
        <f t="shared" si="20"/>
        <v>20137.406812532441</v>
      </c>
      <c r="R45" s="65">
        <f t="shared" si="20"/>
        <v>20549.877591494791</v>
      </c>
      <c r="S45" s="65">
        <f t="shared" si="20"/>
        <v>20970.597786036389</v>
      </c>
      <c r="T45" s="65">
        <f t="shared" si="20"/>
        <v>21399.732384468818</v>
      </c>
      <c r="U45" s="65">
        <f t="shared" si="20"/>
        <v>21837.449674869898</v>
      </c>
      <c r="V45" s="65">
        <f t="shared" si="20"/>
        <v>22283.921311079001</v>
      </c>
      <c r="W45" s="65">
        <f t="shared" si="20"/>
        <v>22739.322380012283</v>
      </c>
      <c r="X45" s="65">
        <f t="shared" si="20"/>
        <v>23203.831470324236</v>
      </c>
      <c r="Y45" s="65">
        <f t="shared" si="20"/>
        <v>23677.630742442423</v>
      </c>
      <c r="Z45" s="65">
        <f t="shared" si="20"/>
        <v>24160.906000002975</v>
      </c>
      <c r="AA45" s="65">
        <f t="shared" si="20"/>
        <v>24653.846762714737</v>
      </c>
      <c r="AB45" s="65">
        <f t="shared" si="20"/>
        <v>25156.646340680734</v>
      </c>
      <c r="AC45" s="65">
        <f t="shared" si="20"/>
        <v>25669.501910206051</v>
      </c>
      <c r="AD45" s="65">
        <f t="shared" si="20"/>
        <v>26192.61459112187</v>
      </c>
      <c r="AE45" s="65">
        <f t="shared" si="20"/>
        <v>26726.189525656013</v>
      </c>
      <c r="AF45" s="65">
        <f t="shared" si="20"/>
        <v>27270.435958880837</v>
      </c>
      <c r="AG45" s="65">
        <f t="shared" si="20"/>
        <v>27825.567320770158</v>
      </c>
      <c r="AH45" s="65">
        <f t="shared" si="20"/>
        <v>28391.801309897266</v>
      </c>
      <c r="AI45" s="65">
        <f t="shared" ref="AI45:BO45" si="21">AI32*AI22</f>
        <v>28969.359978806911</v>
      </c>
      <c r="AJ45" s="65">
        <f t="shared" si="21"/>
        <v>29558.469821094754</v>
      </c>
      <c r="AK45" s="65">
        <f t="shared" si="21"/>
        <v>30159.36186022835</v>
      </c>
      <c r="AL45" s="65">
        <f t="shared" si="21"/>
        <v>30772.271740144617</v>
      </c>
      <c r="AM45" s="65">
        <f t="shared" si="21"/>
        <v>31397.439817659211</v>
      </c>
      <c r="AN45" s="65">
        <f t="shared" si="21"/>
        <v>32035.111256724096</v>
      </c>
      <c r="AO45" s="65">
        <f t="shared" si="21"/>
        <v>32685.536124570281</v>
      </c>
      <c r="AP45" s="65">
        <f t="shared" si="21"/>
        <v>33348.969489773393</v>
      </c>
      <c r="AQ45" s="65">
        <f t="shared" si="21"/>
        <v>10911.677639885709</v>
      </c>
      <c r="AR45" s="65">
        <f t="shared" si="21"/>
        <v>0</v>
      </c>
      <c r="AS45" s="65">
        <f t="shared" si="21"/>
        <v>0</v>
      </c>
      <c r="AT45" s="65">
        <f t="shared" si="21"/>
        <v>0</v>
      </c>
      <c r="AU45" s="65">
        <f t="shared" si="21"/>
        <v>0</v>
      </c>
      <c r="AV45" s="65">
        <f t="shared" si="21"/>
        <v>0</v>
      </c>
      <c r="AW45" s="65">
        <f t="shared" si="21"/>
        <v>0</v>
      </c>
      <c r="AX45" s="65">
        <f t="shared" si="21"/>
        <v>0</v>
      </c>
      <c r="AY45" s="65">
        <f t="shared" si="21"/>
        <v>0</v>
      </c>
      <c r="AZ45" s="65">
        <f t="shared" si="21"/>
        <v>0</v>
      </c>
      <c r="BA45" s="65">
        <f t="shared" si="21"/>
        <v>0</v>
      </c>
      <c r="BB45" s="65">
        <f t="shared" si="21"/>
        <v>0</v>
      </c>
      <c r="BC45" s="65">
        <f t="shared" si="21"/>
        <v>0</v>
      </c>
      <c r="BD45" s="65">
        <f t="shared" si="21"/>
        <v>0</v>
      </c>
      <c r="BE45" s="65">
        <f t="shared" si="21"/>
        <v>0</v>
      </c>
      <c r="BF45" s="65">
        <f t="shared" si="21"/>
        <v>0</v>
      </c>
      <c r="BG45" s="65">
        <f t="shared" si="21"/>
        <v>0</v>
      </c>
      <c r="BH45" s="65">
        <f t="shared" si="21"/>
        <v>0</v>
      </c>
      <c r="BI45" s="65">
        <f t="shared" si="21"/>
        <v>0</v>
      </c>
      <c r="BJ45" s="65">
        <f t="shared" si="21"/>
        <v>0</v>
      </c>
      <c r="BK45" s="65">
        <f t="shared" si="21"/>
        <v>0</v>
      </c>
      <c r="BL45" s="65">
        <f t="shared" si="21"/>
        <v>0</v>
      </c>
      <c r="BM45" s="65">
        <f t="shared" si="21"/>
        <v>0</v>
      </c>
      <c r="BN45" s="65">
        <f t="shared" si="21"/>
        <v>0</v>
      </c>
      <c r="BO45" s="65">
        <f t="shared" si="21"/>
        <v>0</v>
      </c>
    </row>
    <row r="46" spans="1:67" ht="15" customHeight="1" x14ac:dyDescent="0.2">
      <c r="A46" s="14" t="s">
        <v>215</v>
      </c>
      <c r="B46" s="68">
        <f t="shared" si="9"/>
        <v>55103.800479320853</v>
      </c>
      <c r="C46" s="65">
        <f t="shared" ref="C46:AH46" si="22">C33*C23</f>
        <v>2203.1810933908846</v>
      </c>
      <c r="D46" s="65">
        <f t="shared" si="22"/>
        <v>2189.2765109144511</v>
      </c>
      <c r="E46" s="65">
        <f t="shared" si="22"/>
        <v>2185.2812609615594</v>
      </c>
      <c r="F46" s="65">
        <f t="shared" si="22"/>
        <v>2161.0567537401739</v>
      </c>
      <c r="G46" s="65">
        <f t="shared" si="22"/>
        <v>2205.8144147015914</v>
      </c>
      <c r="H46" s="65">
        <f t="shared" si="22"/>
        <v>2249.9307029956226</v>
      </c>
      <c r="I46" s="65">
        <f t="shared" si="22"/>
        <v>2294.9293170555352</v>
      </c>
      <c r="J46" s="65">
        <f t="shared" si="22"/>
        <v>2340.827903396646</v>
      </c>
      <c r="K46" s="65">
        <f t="shared" si="22"/>
        <v>2387.6444614645789</v>
      </c>
      <c r="L46" s="65">
        <f t="shared" si="22"/>
        <v>2435.3973506938705</v>
      </c>
      <c r="M46" s="65">
        <f t="shared" si="22"/>
        <v>2484.1052977077479</v>
      </c>
      <c r="N46" s="65">
        <f t="shared" si="22"/>
        <v>2533.7874036619032</v>
      </c>
      <c r="O46" s="65">
        <f t="shared" si="22"/>
        <v>2584.4631517351413</v>
      </c>
      <c r="P46" s="65">
        <f t="shared" si="22"/>
        <v>2636.1524147698442</v>
      </c>
      <c r="Q46" s="65">
        <f t="shared" si="22"/>
        <v>2688.8754630652411</v>
      </c>
      <c r="R46" s="65">
        <f t="shared" si="22"/>
        <v>2742.6529723265458</v>
      </c>
      <c r="S46" s="65">
        <f t="shared" si="22"/>
        <v>2797.5060317730772</v>
      </c>
      <c r="T46" s="65">
        <f t="shared" si="22"/>
        <v>2853.4561524085384</v>
      </c>
      <c r="U46" s="65">
        <f t="shared" si="22"/>
        <v>2910.5252754567091</v>
      </c>
      <c r="V46" s="65">
        <f t="shared" si="22"/>
        <v>2968.7357809658438</v>
      </c>
      <c r="W46" s="65">
        <f t="shared" si="22"/>
        <v>3028.1104965851605</v>
      </c>
      <c r="X46" s="65">
        <f t="shared" si="22"/>
        <v>2222.0902695501791</v>
      </c>
      <c r="Y46" s="65">
        <f t="shared" si="22"/>
        <v>0</v>
      </c>
      <c r="Z46" s="65">
        <f t="shared" si="22"/>
        <v>0</v>
      </c>
      <c r="AA46" s="65">
        <f t="shared" si="22"/>
        <v>0</v>
      </c>
      <c r="AB46" s="65">
        <f t="shared" si="22"/>
        <v>0</v>
      </c>
      <c r="AC46" s="65">
        <f t="shared" si="22"/>
        <v>0</v>
      </c>
      <c r="AD46" s="65">
        <f t="shared" si="22"/>
        <v>0</v>
      </c>
      <c r="AE46" s="65">
        <f t="shared" si="22"/>
        <v>0</v>
      </c>
      <c r="AF46" s="65">
        <f t="shared" si="22"/>
        <v>0</v>
      </c>
      <c r="AG46" s="65">
        <f t="shared" si="22"/>
        <v>0</v>
      </c>
      <c r="AH46" s="65">
        <f t="shared" si="22"/>
        <v>0</v>
      </c>
      <c r="AI46" s="65">
        <f t="shared" ref="AI46:BO46" si="23">AI33*AI23</f>
        <v>0</v>
      </c>
      <c r="AJ46" s="65">
        <f t="shared" si="23"/>
        <v>0</v>
      </c>
      <c r="AK46" s="65">
        <f t="shared" si="23"/>
        <v>0</v>
      </c>
      <c r="AL46" s="65">
        <f t="shared" si="23"/>
        <v>0</v>
      </c>
      <c r="AM46" s="65">
        <f t="shared" si="23"/>
        <v>0</v>
      </c>
      <c r="AN46" s="65">
        <f t="shared" si="23"/>
        <v>0</v>
      </c>
      <c r="AO46" s="65">
        <f t="shared" si="23"/>
        <v>0</v>
      </c>
      <c r="AP46" s="65">
        <f t="shared" si="23"/>
        <v>0</v>
      </c>
      <c r="AQ46" s="65">
        <f t="shared" si="23"/>
        <v>0</v>
      </c>
      <c r="AR46" s="65">
        <f t="shared" si="23"/>
        <v>0</v>
      </c>
      <c r="AS46" s="65">
        <f t="shared" si="23"/>
        <v>0</v>
      </c>
      <c r="AT46" s="65">
        <f t="shared" si="23"/>
        <v>0</v>
      </c>
      <c r="AU46" s="65">
        <f t="shared" si="23"/>
        <v>0</v>
      </c>
      <c r="AV46" s="65">
        <f t="shared" si="23"/>
        <v>0</v>
      </c>
      <c r="AW46" s="65">
        <f t="shared" si="23"/>
        <v>0</v>
      </c>
      <c r="AX46" s="65">
        <f t="shared" si="23"/>
        <v>0</v>
      </c>
      <c r="AY46" s="65">
        <f t="shared" si="23"/>
        <v>0</v>
      </c>
      <c r="AZ46" s="65">
        <f t="shared" si="23"/>
        <v>0</v>
      </c>
      <c r="BA46" s="65">
        <f t="shared" si="23"/>
        <v>0</v>
      </c>
      <c r="BB46" s="65">
        <f t="shared" si="23"/>
        <v>0</v>
      </c>
      <c r="BC46" s="65">
        <f t="shared" si="23"/>
        <v>0</v>
      </c>
      <c r="BD46" s="65">
        <f t="shared" si="23"/>
        <v>0</v>
      </c>
      <c r="BE46" s="65">
        <f t="shared" si="23"/>
        <v>0</v>
      </c>
      <c r="BF46" s="65">
        <f t="shared" si="23"/>
        <v>0</v>
      </c>
      <c r="BG46" s="65">
        <f t="shared" si="23"/>
        <v>0</v>
      </c>
      <c r="BH46" s="65">
        <f t="shared" si="23"/>
        <v>0</v>
      </c>
      <c r="BI46" s="65">
        <f t="shared" si="23"/>
        <v>0</v>
      </c>
      <c r="BJ46" s="65">
        <f t="shared" si="23"/>
        <v>0</v>
      </c>
      <c r="BK46" s="65">
        <f t="shared" si="23"/>
        <v>0</v>
      </c>
      <c r="BL46" s="65">
        <f t="shared" si="23"/>
        <v>0</v>
      </c>
      <c r="BM46" s="65">
        <f t="shared" si="23"/>
        <v>0</v>
      </c>
      <c r="BN46" s="65">
        <f t="shared" si="23"/>
        <v>0</v>
      </c>
      <c r="BO46" s="65">
        <f t="shared" si="23"/>
        <v>0</v>
      </c>
    </row>
    <row r="47" spans="1:67" ht="15" customHeight="1" x14ac:dyDescent="0.2">
      <c r="A47" s="14" t="s">
        <v>216</v>
      </c>
      <c r="B47" s="68">
        <f t="shared" si="9"/>
        <v>71626.663573595259</v>
      </c>
      <c r="C47" s="65">
        <f t="shared" ref="C47:AH47" si="24">C34*C24</f>
        <v>1843.0057284727445</v>
      </c>
      <c r="D47" s="65">
        <f t="shared" si="24"/>
        <v>2332.1317771906574</v>
      </c>
      <c r="E47" s="65">
        <f t="shared" si="24"/>
        <v>2638.8718416408738</v>
      </c>
      <c r="F47" s="65">
        <f t="shared" si="24"/>
        <v>2895.8702740180825</v>
      </c>
      <c r="G47" s="65">
        <f t="shared" si="24"/>
        <v>2953.9021781032584</v>
      </c>
      <c r="H47" s="65">
        <f t="shared" si="24"/>
        <v>3011.9340821884348</v>
      </c>
      <c r="I47" s="65">
        <f t="shared" si="24"/>
        <v>3071.1266243553146</v>
      </c>
      <c r="J47" s="65">
        <f t="shared" si="24"/>
        <v>3131.5030173655314</v>
      </c>
      <c r="K47" s="65">
        <f t="shared" si="24"/>
        <v>3193.0869382359533</v>
      </c>
      <c r="L47" s="65">
        <f t="shared" si="24"/>
        <v>3255.9025375237834</v>
      </c>
      <c r="M47" s="65">
        <f t="shared" si="24"/>
        <v>3319.9744487973703</v>
      </c>
      <c r="N47" s="65">
        <f t="shared" si="24"/>
        <v>3385.3277982964287</v>
      </c>
      <c r="O47" s="65">
        <f t="shared" si="24"/>
        <v>3451.9882147854682</v>
      </c>
      <c r="P47" s="65">
        <f t="shared" si="24"/>
        <v>3519.9818396042888</v>
      </c>
      <c r="Q47" s="65">
        <f t="shared" si="24"/>
        <v>3589.3353369194856</v>
      </c>
      <c r="R47" s="65">
        <f t="shared" si="24"/>
        <v>3660.0759041809856</v>
      </c>
      <c r="S47" s="65">
        <f t="shared" si="24"/>
        <v>3732.2312827877167</v>
      </c>
      <c r="T47" s="65">
        <f t="shared" si="24"/>
        <v>3805.8297689665824</v>
      </c>
      <c r="U47" s="65">
        <f t="shared" si="24"/>
        <v>3880.9002248690249</v>
      </c>
      <c r="V47" s="65">
        <f t="shared" si="24"/>
        <v>3957.4720898895166</v>
      </c>
      <c r="W47" s="65">
        <f t="shared" si="24"/>
        <v>4035.5753922104177</v>
      </c>
      <c r="X47" s="65">
        <f t="shared" si="24"/>
        <v>2960.6362731933391</v>
      </c>
      <c r="Y47" s="65">
        <f t="shared" si="24"/>
        <v>0</v>
      </c>
      <c r="Z47" s="65">
        <f t="shared" si="24"/>
        <v>0</v>
      </c>
      <c r="AA47" s="65">
        <f t="shared" si="24"/>
        <v>0</v>
      </c>
      <c r="AB47" s="65">
        <f t="shared" si="24"/>
        <v>0</v>
      </c>
      <c r="AC47" s="65">
        <f t="shared" si="24"/>
        <v>0</v>
      </c>
      <c r="AD47" s="65">
        <f t="shared" si="24"/>
        <v>0</v>
      </c>
      <c r="AE47" s="65">
        <f t="shared" si="24"/>
        <v>0</v>
      </c>
      <c r="AF47" s="65">
        <f t="shared" si="24"/>
        <v>0</v>
      </c>
      <c r="AG47" s="65">
        <f t="shared" si="24"/>
        <v>0</v>
      </c>
      <c r="AH47" s="65">
        <f t="shared" si="24"/>
        <v>0</v>
      </c>
      <c r="AI47" s="65">
        <f t="shared" ref="AI47:BO47" si="25">AI34*AI24</f>
        <v>0</v>
      </c>
      <c r="AJ47" s="65">
        <f t="shared" si="25"/>
        <v>0</v>
      </c>
      <c r="AK47" s="65">
        <f t="shared" si="25"/>
        <v>0</v>
      </c>
      <c r="AL47" s="65">
        <f t="shared" si="25"/>
        <v>0</v>
      </c>
      <c r="AM47" s="65">
        <f t="shared" si="25"/>
        <v>0</v>
      </c>
      <c r="AN47" s="65">
        <f t="shared" si="25"/>
        <v>0</v>
      </c>
      <c r="AO47" s="65">
        <f t="shared" si="25"/>
        <v>0</v>
      </c>
      <c r="AP47" s="65">
        <f t="shared" si="25"/>
        <v>0</v>
      </c>
      <c r="AQ47" s="65">
        <f t="shared" si="25"/>
        <v>0</v>
      </c>
      <c r="AR47" s="65">
        <f t="shared" si="25"/>
        <v>0</v>
      </c>
      <c r="AS47" s="65">
        <f t="shared" si="25"/>
        <v>0</v>
      </c>
      <c r="AT47" s="65">
        <f t="shared" si="25"/>
        <v>0</v>
      </c>
      <c r="AU47" s="65">
        <f t="shared" si="25"/>
        <v>0</v>
      </c>
      <c r="AV47" s="65">
        <f t="shared" si="25"/>
        <v>0</v>
      </c>
      <c r="AW47" s="65">
        <f t="shared" si="25"/>
        <v>0</v>
      </c>
      <c r="AX47" s="65">
        <f t="shared" si="25"/>
        <v>0</v>
      </c>
      <c r="AY47" s="65">
        <f t="shared" si="25"/>
        <v>0</v>
      </c>
      <c r="AZ47" s="65">
        <f t="shared" si="25"/>
        <v>0</v>
      </c>
      <c r="BA47" s="65">
        <f t="shared" si="25"/>
        <v>0</v>
      </c>
      <c r="BB47" s="65">
        <f t="shared" si="25"/>
        <v>0</v>
      </c>
      <c r="BC47" s="65">
        <f t="shared" si="25"/>
        <v>0</v>
      </c>
      <c r="BD47" s="65">
        <f t="shared" si="25"/>
        <v>0</v>
      </c>
      <c r="BE47" s="65">
        <f t="shared" si="25"/>
        <v>0</v>
      </c>
      <c r="BF47" s="65">
        <f t="shared" si="25"/>
        <v>0</v>
      </c>
      <c r="BG47" s="65">
        <f t="shared" si="25"/>
        <v>0</v>
      </c>
      <c r="BH47" s="65">
        <f t="shared" si="25"/>
        <v>0</v>
      </c>
      <c r="BI47" s="65">
        <f t="shared" si="25"/>
        <v>0</v>
      </c>
      <c r="BJ47" s="65">
        <f t="shared" si="25"/>
        <v>0</v>
      </c>
      <c r="BK47" s="65">
        <f t="shared" si="25"/>
        <v>0</v>
      </c>
      <c r="BL47" s="65">
        <f t="shared" si="25"/>
        <v>0</v>
      </c>
      <c r="BM47" s="65">
        <f t="shared" si="25"/>
        <v>0</v>
      </c>
      <c r="BN47" s="65">
        <f t="shared" si="25"/>
        <v>0</v>
      </c>
      <c r="BO47" s="65">
        <f t="shared" si="25"/>
        <v>0</v>
      </c>
    </row>
    <row r="48" spans="1:67" ht="15" customHeight="1" x14ac:dyDescent="0.2">
      <c r="A48" s="29" t="s">
        <v>217</v>
      </c>
      <c r="B48" s="69">
        <f t="shared" si="9"/>
        <v>1547821.034441947</v>
      </c>
      <c r="C48" s="69">
        <f t="shared" ref="C48:AH48" si="26">SUM(C40:C47)</f>
        <v>31140.34161687471</v>
      </c>
      <c r="D48" s="69">
        <f t="shared" si="26"/>
        <v>31187.847591804257</v>
      </c>
      <c r="E48" s="69">
        <f t="shared" si="26"/>
        <v>31436.184044241461</v>
      </c>
      <c r="F48" s="69">
        <f t="shared" si="26"/>
        <v>31346.230226684747</v>
      </c>
      <c r="G48" s="69">
        <f t="shared" si="26"/>
        <v>32022.023491933658</v>
      </c>
      <c r="H48" s="69">
        <f t="shared" si="26"/>
        <v>32706.86732155527</v>
      </c>
      <c r="I48" s="69">
        <f t="shared" si="26"/>
        <v>33405.408027769306</v>
      </c>
      <c r="J48" s="69">
        <f t="shared" si="26"/>
        <v>34117.919548107631</v>
      </c>
      <c r="K48" s="69">
        <f t="shared" si="26"/>
        <v>34844.681298852716</v>
      </c>
      <c r="L48" s="69">
        <f t="shared" si="26"/>
        <v>35585.978284612705</v>
      </c>
      <c r="M48" s="69">
        <f t="shared" si="26"/>
        <v>36342.101210087894</v>
      </c>
      <c r="N48" s="69">
        <f t="shared" si="26"/>
        <v>37113.346594072587</v>
      </c>
      <c r="O48" s="69">
        <f t="shared" si="26"/>
        <v>37900.016885736979</v>
      </c>
      <c r="P48" s="69">
        <f t="shared" si="26"/>
        <v>38702.420583234649</v>
      </c>
      <c r="Q48" s="69">
        <f t="shared" si="26"/>
        <v>39520.87235468228</v>
      </c>
      <c r="R48" s="69">
        <f t="shared" si="26"/>
        <v>40355.693161558855</v>
      </c>
      <c r="S48" s="69">
        <f t="shared" si="26"/>
        <v>41207.210384572965</v>
      </c>
      <c r="T48" s="69">
        <f t="shared" si="26"/>
        <v>42075.757952047366</v>
      </c>
      <c r="U48" s="69">
        <f t="shared" si="26"/>
        <v>42961.676470871244</v>
      </c>
      <c r="V48" s="69">
        <f t="shared" si="26"/>
        <v>43865.31336007161</v>
      </c>
      <c r="W48" s="69">
        <f t="shared" si="26"/>
        <v>44787.022987055978</v>
      </c>
      <c r="X48" s="69">
        <f t="shared" si="26"/>
        <v>42536.676170170569</v>
      </c>
      <c r="Y48" s="69">
        <f t="shared" si="26"/>
        <v>35083.595648488816</v>
      </c>
      <c r="Z48" s="69">
        <f t="shared" si="26"/>
        <v>35826.129168390566</v>
      </c>
      <c r="AA48" s="69">
        <f t="shared" si="26"/>
        <v>36583.513358690347</v>
      </c>
      <c r="AB48" s="69">
        <f t="shared" si="26"/>
        <v>37356.045232796125</v>
      </c>
      <c r="AC48" s="69">
        <f t="shared" si="26"/>
        <v>38144.027744384017</v>
      </c>
      <c r="AD48" s="69">
        <f t="shared" si="26"/>
        <v>38947.769906203663</v>
      </c>
      <c r="AE48" s="69">
        <f t="shared" si="26"/>
        <v>39767.586911259714</v>
      </c>
      <c r="AF48" s="69">
        <f t="shared" si="26"/>
        <v>40603.800256416871</v>
      </c>
      <c r="AG48" s="69">
        <f t="shared" si="26"/>
        <v>41456.73786847719</v>
      </c>
      <c r="AH48" s="69">
        <f t="shared" si="26"/>
        <v>42326.734232778705</v>
      </c>
      <c r="AI48" s="69">
        <f t="shared" ref="AI48:BN48" si="27">SUM(AI40:AI47)</f>
        <v>43214.13052436625</v>
      </c>
      <c r="AJ48" s="69">
        <f t="shared" si="27"/>
        <v>44119.274741785543</v>
      </c>
      <c r="AK48" s="69">
        <f t="shared" si="27"/>
        <v>45042.521843553222</v>
      </c>
      <c r="AL48" s="69">
        <f t="shared" si="27"/>
        <v>45984.233887356255</v>
      </c>
      <c r="AM48" s="69">
        <f t="shared" si="27"/>
        <v>46944.780172035353</v>
      </c>
      <c r="AN48" s="69">
        <f t="shared" si="27"/>
        <v>37419.900512699518</v>
      </c>
      <c r="AO48" s="69">
        <f t="shared" si="27"/>
        <v>35607.432798749607</v>
      </c>
      <c r="AP48" s="69">
        <f t="shared" si="27"/>
        <v>36338.632266445857</v>
      </c>
      <c r="AQ48" s="68">
        <f t="shared" si="27"/>
        <v>11892.597800470428</v>
      </c>
      <c r="AR48" s="68">
        <f t="shared" si="27"/>
        <v>0</v>
      </c>
      <c r="AS48" s="68">
        <f t="shared" si="27"/>
        <v>0</v>
      </c>
      <c r="AT48" s="68">
        <f t="shared" si="27"/>
        <v>0</v>
      </c>
      <c r="AU48" s="68">
        <f t="shared" si="27"/>
        <v>0</v>
      </c>
      <c r="AV48" s="68">
        <f t="shared" si="27"/>
        <v>0</v>
      </c>
      <c r="AW48" s="68">
        <f t="shared" si="27"/>
        <v>0</v>
      </c>
      <c r="AX48" s="68">
        <f t="shared" si="27"/>
        <v>0</v>
      </c>
      <c r="AY48" s="68">
        <f t="shared" si="27"/>
        <v>0</v>
      </c>
      <c r="AZ48" s="68">
        <f t="shared" si="27"/>
        <v>0</v>
      </c>
      <c r="BA48" s="68">
        <f t="shared" si="27"/>
        <v>0</v>
      </c>
      <c r="BB48" s="68">
        <f t="shared" si="27"/>
        <v>0</v>
      </c>
      <c r="BC48" s="68">
        <f t="shared" si="27"/>
        <v>0</v>
      </c>
      <c r="BD48" s="68">
        <f t="shared" si="27"/>
        <v>0</v>
      </c>
      <c r="BE48" s="68">
        <f t="shared" si="27"/>
        <v>0</v>
      </c>
      <c r="BF48" s="68">
        <f t="shared" si="27"/>
        <v>0</v>
      </c>
      <c r="BG48" s="68">
        <f t="shared" si="27"/>
        <v>0</v>
      </c>
      <c r="BH48" s="68">
        <f t="shared" si="27"/>
        <v>0</v>
      </c>
      <c r="BI48" s="68">
        <f t="shared" si="27"/>
        <v>0</v>
      </c>
      <c r="BJ48" s="68">
        <f t="shared" si="27"/>
        <v>0</v>
      </c>
      <c r="BK48" s="68">
        <f t="shared" si="27"/>
        <v>0</v>
      </c>
      <c r="BL48" s="68">
        <f t="shared" si="27"/>
        <v>0</v>
      </c>
      <c r="BM48" s="68">
        <f t="shared" si="27"/>
        <v>0</v>
      </c>
      <c r="BN48" s="68">
        <f t="shared" si="27"/>
        <v>0</v>
      </c>
      <c r="BO48" s="68">
        <f t="shared" ref="BO48" si="28">SUM(BO40:BO47)</f>
        <v>0</v>
      </c>
    </row>
    <row r="50" spans="1:67" ht="15" customHeight="1" x14ac:dyDescent="0.2">
      <c r="A50" s="29" t="s">
        <v>744</v>
      </c>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row>
    <row r="51" spans="1:67" ht="15" customHeight="1" x14ac:dyDescent="0.2">
      <c r="A51" s="14" t="s">
        <v>218</v>
      </c>
      <c r="B51" s="67">
        <f>SUM(C51:BO51)</f>
        <v>296895.64771863201</v>
      </c>
      <c r="C51" s="70">
        <f>SUMPRODUCT(C40:C47,'Model Inputs'!$D$73:$D$80)</f>
        <v>5944.7329853688143</v>
      </c>
      <c r="D51" s="27">
        <f>SUMPRODUCT(D40:D47,'Model Inputs'!$D$73:$D$80)</f>
        <v>5918.0484278181093</v>
      </c>
      <c r="E51" s="27">
        <f>SUMPRODUCT(E40:E47,'Model Inputs'!$D$73:$D$80)</f>
        <v>5941.4265964989427</v>
      </c>
      <c r="F51" s="27">
        <f>SUMPRODUCT(F40:F47,'Model Inputs'!$D$73:$D$80)</f>
        <v>5902.2241014119691</v>
      </c>
      <c r="G51" s="27">
        <f>SUMPRODUCT(G40:G47,'Model Inputs'!$D$73:$D$80)</f>
        <v>6030.9312871816419</v>
      </c>
      <c r="H51" s="27">
        <f>SUMPRODUCT(H40:H47,'Model Inputs'!$D$73:$D$80)</f>
        <v>6161.4251543467826</v>
      </c>
      <c r="I51" s="27">
        <f>SUMPRODUCT(I40:I47,'Model Inputs'!$D$73:$D$80)</f>
        <v>6294.5288988552265</v>
      </c>
      <c r="J51" s="27">
        <f>SUMPRODUCT(J40:J47,'Model Inputs'!$D$73:$D$80)</f>
        <v>6430.294718253841</v>
      </c>
      <c r="K51" s="27">
        <f>SUMPRODUCT(K40:K47,'Model Inputs'!$D$73:$D$80)</f>
        <v>6568.7758540404266</v>
      </c>
      <c r="L51" s="27">
        <f>SUMPRODUCT(L40:L47,'Model Inputs'!$D$73:$D$80)</f>
        <v>6710.0266125427452</v>
      </c>
      <c r="M51" s="27">
        <f>SUMPRODUCT(M40:M47,'Model Inputs'!$D$73:$D$80)</f>
        <v>6854.1023862151087</v>
      </c>
      <c r="N51" s="27">
        <f>SUMPRODUCT(N40:N47,'Model Inputs'!$D$73:$D$80)</f>
        <v>7001.0596753609216</v>
      </c>
      <c r="O51" s="27">
        <f>SUMPRODUCT(O40:O47,'Model Inputs'!$D$73:$D$80)</f>
        <v>7150.9561102896487</v>
      </c>
      <c r="P51" s="27">
        <f>SUMPRODUCT(P40:P47,'Model Inputs'!$D$73:$D$80)</f>
        <v>7303.8504739169502</v>
      </c>
      <c r="Q51" s="27">
        <f>SUMPRODUCT(Q40:Q47,'Model Inputs'!$D$73:$D$80)</f>
        <v>7459.8027248167982</v>
      </c>
      <c r="R51" s="27">
        <f>SUMPRODUCT(R40:R47,'Model Inputs'!$D$73:$D$80)</f>
        <v>7618.8740207346436</v>
      </c>
      <c r="S51" s="27">
        <f>SUMPRODUCT(S40:S47,'Model Inputs'!$D$73:$D$80)</f>
        <v>7781.1267425708456</v>
      </c>
      <c r="T51" s="27">
        <f>SUMPRODUCT(T40:T47,'Model Inputs'!$D$73:$D$80)</f>
        <v>7946.6245188437724</v>
      </c>
      <c r="U51" s="27">
        <f>SUMPRODUCT(U40:U47,'Model Inputs'!$D$73:$D$80)</f>
        <v>8115.4322506421568</v>
      </c>
      <c r="V51" s="27">
        <f>SUMPRODUCT(V40:V47,'Model Inputs'!$D$73:$D$80)</f>
        <v>8287.6161370765094</v>
      </c>
      <c r="W51" s="27">
        <f>SUMPRODUCT(W40:W47,'Model Inputs'!$D$73:$D$80)</f>
        <v>8463.2437012395476</v>
      </c>
      <c r="X51" s="27">
        <f>SUMPRODUCT(X40:X47,'Model Inputs'!$D$73:$D$80)</f>
        <v>8119.8981054706819</v>
      </c>
      <c r="Y51" s="27">
        <f>SUMPRODUCT(Y40:Y47,'Model Inputs'!$D$73:$D$80)</f>
        <v>6924.9166109946964</v>
      </c>
      <c r="Z51" s="27">
        <f>SUMPRODUCT(Z40:Z47,'Model Inputs'!$D$73:$D$80)</f>
        <v>7072.5882491255306</v>
      </c>
      <c r="AA51" s="27">
        <f>SUMPRODUCT(AA40:AA47,'Model Inputs'!$D$73:$D$80)</f>
        <v>7223.2133200189819</v>
      </c>
      <c r="AB51" s="27">
        <f>SUMPRODUCT(AB40:AB47,'Model Inputs'!$D$73:$D$80)</f>
        <v>7376.8508923303034</v>
      </c>
      <c r="AC51" s="27">
        <f>SUMPRODUCT(AC40:AC47,'Model Inputs'!$D$73:$D$80)</f>
        <v>7533.56121608785</v>
      </c>
      <c r="AD51" s="27">
        <f>SUMPRODUCT(AD40:AD47,'Model Inputs'!$D$73:$D$80)</f>
        <v>7693.4057463205463</v>
      </c>
      <c r="AE51" s="27">
        <f>SUMPRODUCT(AE40:AE47,'Model Inputs'!$D$73:$D$80)</f>
        <v>7856.4471671578985</v>
      </c>
      <c r="AF51" s="27">
        <f>SUMPRODUCT(AF40:AF47,'Model Inputs'!$D$73:$D$80)</f>
        <v>8022.749416411998</v>
      </c>
      <c r="AG51" s="27">
        <f>SUMPRODUCT(AG40:AG47,'Model Inputs'!$D$73:$D$80)</f>
        <v>8192.3777106511789</v>
      </c>
      <c r="AH51" s="27">
        <f>SUMPRODUCT(AH40:AH47,'Model Inputs'!$D$73:$D$80)</f>
        <v>8365.3985707751435</v>
      </c>
      <c r="AI51" s="27">
        <f>SUMPRODUCT(AI40:AI47,'Model Inputs'!$D$73:$D$80)</f>
        <v>8541.8798481015874</v>
      </c>
      <c r="AJ51" s="27">
        <f>SUMPRODUCT(AJ40:AJ47,'Model Inputs'!$D$73:$D$80)</f>
        <v>8721.8907509745604</v>
      </c>
      <c r="AK51" s="27">
        <f>SUMPRODUCT(AK40:AK47,'Model Inputs'!$D$73:$D$80)</f>
        <v>8905.5018719049913</v>
      </c>
      <c r="AL51" s="27">
        <f>SUMPRODUCT(AL40:AL47,'Model Inputs'!$D$73:$D$80)</f>
        <v>9092.7852152540327</v>
      </c>
      <c r="AM51" s="27">
        <f>SUMPRODUCT(AM40:AM47,'Model Inputs'!$D$73:$D$80)</f>
        <v>9283.8142254700542</v>
      </c>
      <c r="AN51" s="27">
        <f>SUMPRODUCT(AN40:AN47,'Model Inputs'!$D$73:$D$80)</f>
        <v>6923.4818746099463</v>
      </c>
      <c r="AO51" s="27">
        <f>SUMPRODUCT(AO40:AO47,'Model Inputs'!$D$73:$D$80)</f>
        <v>6438.2722239530103</v>
      </c>
      <c r="AP51" s="27">
        <f>SUMPRODUCT(AP40:AP47,'Model Inputs'!$D$73:$D$80)</f>
        <v>6570.9056457782417</v>
      </c>
      <c r="AQ51" s="27">
        <f>AQ40*'Model Inputs'!$D$73+AQ41*'Model Inputs'!$D$74+AQ42*'Model Inputs'!$D$75+AQ43*'Model Inputs'!$D$76+AQ44*'Model Inputs'!$D$77+AQ45*'Model Inputs'!$D$78+AQ46*'Model Inputs'!$D$79+AQ47*'Model Inputs'!$D$80</f>
        <v>2150.605679215384</v>
      </c>
      <c r="AR51" s="27">
        <f>AR40*'Model Inputs'!$D$73+AR41*'Model Inputs'!$D$74+AR42*'Model Inputs'!$D$75+AR43*'Model Inputs'!$D$76+AR44*'Model Inputs'!$D$77+AR45*'Model Inputs'!$D$78+AR46*'Model Inputs'!$D$79+AR47*'Model Inputs'!$D$80</f>
        <v>0</v>
      </c>
      <c r="AS51" s="27">
        <f>AS40*'Model Inputs'!$D$73+AS41*'Model Inputs'!$D$74+AS42*'Model Inputs'!$D$75+AS43*'Model Inputs'!$D$76+AS44*'Model Inputs'!$D$77+AS45*'Model Inputs'!$D$78+AS46*'Model Inputs'!$D$79+AS47*'Model Inputs'!$D$80</f>
        <v>0</v>
      </c>
      <c r="AT51" s="27">
        <f>AT40*'Model Inputs'!$D$73+AT41*'Model Inputs'!$D$74+AT42*'Model Inputs'!$D$75+AT43*'Model Inputs'!$D$76+AT44*'Model Inputs'!$D$77+AT45*'Model Inputs'!$D$78+AT46*'Model Inputs'!$D$79+AT47*'Model Inputs'!$D$80</f>
        <v>0</v>
      </c>
      <c r="AU51" s="27">
        <f>AU40*'Model Inputs'!$D$73+AU41*'Model Inputs'!$D$74+AU42*'Model Inputs'!$D$75+AU43*'Model Inputs'!$D$76+AU44*'Model Inputs'!$D$77+AU45*'Model Inputs'!$D$78+AU46*'Model Inputs'!$D$79+AU47*'Model Inputs'!$D$80</f>
        <v>0</v>
      </c>
      <c r="AV51" s="27">
        <f>AV40*'Model Inputs'!$D$73+AV41*'Model Inputs'!$D$74+AV42*'Model Inputs'!$D$75+AV43*'Model Inputs'!$D$76+AV44*'Model Inputs'!$D$77+AV45*'Model Inputs'!$D$78+AV46*'Model Inputs'!$D$79+AV47*'Model Inputs'!$D$80</f>
        <v>0</v>
      </c>
      <c r="AW51" s="27">
        <f>AW40*'Model Inputs'!$D$73+AW41*'Model Inputs'!$D$74+AW42*'Model Inputs'!$D$75+AW43*'Model Inputs'!$D$76+AW44*'Model Inputs'!$D$77+AW45*'Model Inputs'!$D$78+AW46*'Model Inputs'!$D$79+AW47*'Model Inputs'!$D$80</f>
        <v>0</v>
      </c>
      <c r="AX51" s="27">
        <f>AX40*'Model Inputs'!$D$73+AX41*'Model Inputs'!$D$74+AX42*'Model Inputs'!$D$75+AX43*'Model Inputs'!$D$76+AX44*'Model Inputs'!$D$77+AX45*'Model Inputs'!$D$78+AX46*'Model Inputs'!$D$79+AX47*'Model Inputs'!$D$80</f>
        <v>0</v>
      </c>
      <c r="AY51" s="27">
        <f>AY40*'Model Inputs'!$D$73+AY41*'Model Inputs'!$D$74+AY42*'Model Inputs'!$D$75+AY43*'Model Inputs'!$D$76+AY44*'Model Inputs'!$D$77+AY45*'Model Inputs'!$D$78+AY46*'Model Inputs'!$D$79+AY47*'Model Inputs'!$D$80</f>
        <v>0</v>
      </c>
      <c r="AZ51" s="27">
        <f>AZ40*'Model Inputs'!$D$73+AZ41*'Model Inputs'!$D$74+AZ42*'Model Inputs'!$D$75+AZ43*'Model Inputs'!$D$76+AZ44*'Model Inputs'!$D$77+AZ45*'Model Inputs'!$D$78+AZ46*'Model Inputs'!$D$79+AZ47*'Model Inputs'!$D$80</f>
        <v>0</v>
      </c>
      <c r="BA51" s="27">
        <f>BA40*'Model Inputs'!$D$73+BA41*'Model Inputs'!$D$74+BA42*'Model Inputs'!$D$75+BA43*'Model Inputs'!$D$76+BA44*'Model Inputs'!$D$77+BA45*'Model Inputs'!$D$78+BA46*'Model Inputs'!$D$79+BA47*'Model Inputs'!$D$80</f>
        <v>0</v>
      </c>
      <c r="BB51" s="27">
        <f>BB40*'Model Inputs'!$D$73+BB41*'Model Inputs'!$D$74+BB42*'Model Inputs'!$D$75+BB43*'Model Inputs'!$D$76+BB44*'Model Inputs'!$D$77+BB45*'Model Inputs'!$D$78+BB46*'Model Inputs'!$D$79+BB47*'Model Inputs'!$D$80</f>
        <v>0</v>
      </c>
      <c r="BC51" s="27">
        <f>BC40*'Model Inputs'!$D$73+BC41*'Model Inputs'!$D$74+BC42*'Model Inputs'!$D$75+BC43*'Model Inputs'!$D$76+BC44*'Model Inputs'!$D$77+BC45*'Model Inputs'!$D$78+BC46*'Model Inputs'!$D$79+BC47*'Model Inputs'!$D$80</f>
        <v>0</v>
      </c>
      <c r="BD51" s="27">
        <f>BD40*'Model Inputs'!$D$73+BD41*'Model Inputs'!$D$74+BD42*'Model Inputs'!$D$75+BD43*'Model Inputs'!$D$76+BD44*'Model Inputs'!$D$77+BD45*'Model Inputs'!$D$78+BD46*'Model Inputs'!$D$79+BD47*'Model Inputs'!$D$80</f>
        <v>0</v>
      </c>
      <c r="BE51" s="27">
        <f>BE40*'Model Inputs'!$D$73+BE41*'Model Inputs'!$D$74+BE42*'Model Inputs'!$D$75+BE43*'Model Inputs'!$D$76+BE44*'Model Inputs'!$D$77+BE45*'Model Inputs'!$D$78+BE46*'Model Inputs'!$D$79+BE47*'Model Inputs'!$D$80</f>
        <v>0</v>
      </c>
      <c r="BF51" s="27">
        <f>BF40*'Model Inputs'!$D$73+BF41*'Model Inputs'!$D$74+BF42*'Model Inputs'!$D$75+BF43*'Model Inputs'!$D$76+BF44*'Model Inputs'!$D$77+BF45*'Model Inputs'!$D$78+BF46*'Model Inputs'!$D$79+BF47*'Model Inputs'!$D$80</f>
        <v>0</v>
      </c>
      <c r="BG51" s="27">
        <f>BG40*'Model Inputs'!$D$73+BG41*'Model Inputs'!$D$74+BG42*'Model Inputs'!$D$75+BG43*'Model Inputs'!$D$76+BG44*'Model Inputs'!$D$77+BG45*'Model Inputs'!$D$78+BG46*'Model Inputs'!$D$79+BG47*'Model Inputs'!$D$80</f>
        <v>0</v>
      </c>
      <c r="BH51" s="27">
        <f>BH40*'Model Inputs'!$D$73+BH41*'Model Inputs'!$D$74+BH42*'Model Inputs'!$D$75+BH43*'Model Inputs'!$D$76+BH44*'Model Inputs'!$D$77+BH45*'Model Inputs'!$D$78+BH46*'Model Inputs'!$D$79+BH47*'Model Inputs'!$D$80</f>
        <v>0</v>
      </c>
      <c r="BI51" s="27">
        <f>BI40*'Model Inputs'!$D$73+BI41*'Model Inputs'!$D$74+BI42*'Model Inputs'!$D$75+BI43*'Model Inputs'!$D$76+BI44*'Model Inputs'!$D$77+BI45*'Model Inputs'!$D$78+BI46*'Model Inputs'!$D$79+BI47*'Model Inputs'!$D$80</f>
        <v>0</v>
      </c>
      <c r="BJ51" s="27">
        <f>BJ40*'Model Inputs'!$D$73+BJ41*'Model Inputs'!$D$74+BJ42*'Model Inputs'!$D$75+BJ43*'Model Inputs'!$D$76+BJ44*'Model Inputs'!$D$77+BJ45*'Model Inputs'!$D$78+BJ46*'Model Inputs'!$D$79+BJ47*'Model Inputs'!$D$80</f>
        <v>0</v>
      </c>
      <c r="BK51" s="27">
        <f>BK40*'Model Inputs'!$D$73+BK41*'Model Inputs'!$D$74+BK42*'Model Inputs'!$D$75+BK43*'Model Inputs'!$D$76+BK44*'Model Inputs'!$D$77+BK45*'Model Inputs'!$D$78+BK46*'Model Inputs'!$D$79+BK47*'Model Inputs'!$D$80</f>
        <v>0</v>
      </c>
      <c r="BL51" s="27">
        <f>BL40*'Model Inputs'!$D$73+BL41*'Model Inputs'!$D$74+BL42*'Model Inputs'!$D$75+BL43*'Model Inputs'!$D$76+BL44*'Model Inputs'!$D$77+BL45*'Model Inputs'!$D$78+BL46*'Model Inputs'!$D$79+BL47*'Model Inputs'!$D$80</f>
        <v>0</v>
      </c>
      <c r="BM51" s="27">
        <f>BM40*'Model Inputs'!$D$73+BM41*'Model Inputs'!$D$74+BM42*'Model Inputs'!$D$75+BM43*'Model Inputs'!$D$76+BM44*'Model Inputs'!$D$77+BM45*'Model Inputs'!$D$78+BM46*'Model Inputs'!$D$79+BM47*'Model Inputs'!$D$80</f>
        <v>0</v>
      </c>
      <c r="BN51" s="27">
        <f>BN40*'Model Inputs'!$D$73+BN41*'Model Inputs'!$D$74+BN42*'Model Inputs'!$D$75+BN43*'Model Inputs'!$D$76+BN44*'Model Inputs'!$D$77+BN45*'Model Inputs'!$D$78+BN46*'Model Inputs'!$D$79+BN47*'Model Inputs'!$D$80</f>
        <v>0</v>
      </c>
      <c r="BO51" s="27">
        <f>BO40*'Model Inputs'!$D$73+BO41*'Model Inputs'!$D$74+BO42*'Model Inputs'!$D$75+BO43*'Model Inputs'!$D$76+BO44*'Model Inputs'!$D$77+BO45*'Model Inputs'!$D$78+BO46*'Model Inputs'!$D$79+BO47*'Model Inputs'!$D$80</f>
        <v>0</v>
      </c>
    </row>
    <row r="52" spans="1:67" ht="15" customHeight="1" x14ac:dyDescent="0.2">
      <c r="A52" s="14" t="s">
        <v>219</v>
      </c>
      <c r="B52" s="71">
        <f>IF('Model Inputs'!B12=1,IF('Sensitivities 1P'!$B$13=1,'Sensitivities 1P'!$B$14,'Model Inputs'!B91/B51),1)</f>
        <v>1</v>
      </c>
      <c r="C52" s="72"/>
      <c r="D52" s="72"/>
      <c r="E52" s="72"/>
      <c r="F52" s="72"/>
      <c r="G52" s="72"/>
      <c r="H52" s="72"/>
      <c r="I52" s="72"/>
      <c r="J52" s="72"/>
      <c r="K52" s="72"/>
      <c r="L52" s="72"/>
      <c r="M52" s="72"/>
      <c r="N52" s="72"/>
      <c r="O52" s="72"/>
      <c r="P52" s="72"/>
      <c r="Q52" s="72"/>
      <c r="R52" s="72"/>
      <c r="S52" s="72"/>
      <c r="T52" s="72"/>
      <c r="U52" s="72"/>
      <c r="V52" s="72"/>
      <c r="W52" s="72"/>
      <c r="X52" s="72"/>
      <c r="Y52" s="72"/>
      <c r="Z52" s="72"/>
      <c r="AA52" s="72"/>
      <c r="AB52" s="72"/>
      <c r="AC52" s="72"/>
      <c r="AD52" s="72"/>
      <c r="AE52" s="72"/>
      <c r="AF52" s="72"/>
      <c r="AG52" s="72"/>
      <c r="AH52" s="72"/>
      <c r="AI52" s="72"/>
      <c r="AJ52" s="72"/>
      <c r="AK52" s="72"/>
      <c r="AL52" s="72"/>
      <c r="AM52" s="72"/>
      <c r="AN52" s="72"/>
      <c r="AO52" s="72"/>
      <c r="AP52" s="72"/>
    </row>
    <row r="53" spans="1:67" ht="15" customHeight="1" x14ac:dyDescent="0.2">
      <c r="A53" s="14" t="s">
        <v>209</v>
      </c>
      <c r="B53" s="66">
        <f t="shared" ref="B53:B61" si="29">SUM(C53:BO53)</f>
        <v>5331.9178001363844</v>
      </c>
      <c r="C53" s="70">
        <f>C40*'Model Inputs'!$D$73</f>
        <v>213.8769653350088</v>
      </c>
      <c r="D53" s="27">
        <f>D40*'Model Inputs'!$D$73</f>
        <v>209.44775191964416</v>
      </c>
      <c r="E53" s="27">
        <f>E40*'Model Inputs'!$D$73</f>
        <v>209.00550354200692</v>
      </c>
      <c r="F53" s="27">
        <f>F40*'Model Inputs'!$D$73</f>
        <v>206.43133141266145</v>
      </c>
      <c r="G53" s="27">
        <f>G40*'Model Inputs'!$D$73</f>
        <v>210.93613263901599</v>
      </c>
      <c r="H53" s="27">
        <f>H40*'Model Inputs'!$D$73</f>
        <v>215.51482213945366</v>
      </c>
      <c r="I53" s="27">
        <f>I40*'Model Inputs'!$D$73</f>
        <v>220.18508542990006</v>
      </c>
      <c r="J53" s="27">
        <f>J40*'Model Inputs'!$D$73</f>
        <v>224.9487539861554</v>
      </c>
      <c r="K53" s="27">
        <f>K40*'Model Inputs'!$D$73</f>
        <v>229.80769591353584</v>
      </c>
      <c r="L53" s="27">
        <f>L40*'Model Inputs'!$D$73</f>
        <v>234.76381667946384</v>
      </c>
      <c r="M53" s="27">
        <f>M40*'Model Inputs'!$D$73</f>
        <v>239.81905986071047</v>
      </c>
      <c r="N53" s="27">
        <f>N40*'Model Inputs'!$D$73</f>
        <v>244.97540790558202</v>
      </c>
      <c r="O53" s="27">
        <f>O40*'Model Inputs'!$D$73</f>
        <v>250.23488291135101</v>
      </c>
      <c r="P53" s="27">
        <f>P40*'Model Inputs'!$D$73</f>
        <v>255.59954741723533</v>
      </c>
      <c r="Q53" s="27">
        <f>Q40*'Model Inputs'!$D$73</f>
        <v>261.07150521323734</v>
      </c>
      <c r="R53" s="27">
        <f>R40*'Model Inputs'!$D$73</f>
        <v>266.65290216515939</v>
      </c>
      <c r="S53" s="27">
        <f>S40*'Model Inputs'!$D$73</f>
        <v>272.34592705611993</v>
      </c>
      <c r="T53" s="27">
        <f>T40*'Model Inputs'!$D$73</f>
        <v>278.15281244489967</v>
      </c>
      <c r="U53" s="27">
        <f>U40*'Model Inputs'!$D$73</f>
        <v>284.07583554145498</v>
      </c>
      <c r="V53" s="27">
        <f>V40*'Model Inputs'!$D$73</f>
        <v>290.11731909994143</v>
      </c>
      <c r="W53" s="27">
        <f>W40*'Model Inputs'!$D$73</f>
        <v>296.27963232959763</v>
      </c>
      <c r="X53" s="27">
        <f>X40*'Model Inputs'!$D$73</f>
        <v>217.67510919424868</v>
      </c>
      <c r="Y53" s="27">
        <f>Y40*'Model Inputs'!$D$73</f>
        <v>0</v>
      </c>
      <c r="Z53" s="27">
        <f>Z40*'Model Inputs'!$D$73</f>
        <v>0</v>
      </c>
      <c r="AA53" s="27">
        <f>AA40*'Model Inputs'!$D$73</f>
        <v>0</v>
      </c>
      <c r="AB53" s="27">
        <f>AB40*'Model Inputs'!$D$73</f>
        <v>0</v>
      </c>
      <c r="AC53" s="27">
        <f>AC40*'Model Inputs'!$D$73</f>
        <v>0</v>
      </c>
      <c r="AD53" s="27">
        <f>AD40*'Model Inputs'!$D$73</f>
        <v>0</v>
      </c>
      <c r="AE53" s="27">
        <f>AE40*'Model Inputs'!$D$73</f>
        <v>0</v>
      </c>
      <c r="AF53" s="27">
        <f>AF40*'Model Inputs'!$D$73</f>
        <v>0</v>
      </c>
      <c r="AG53" s="27">
        <f>AG40*'Model Inputs'!$D$73</f>
        <v>0</v>
      </c>
      <c r="AH53" s="27">
        <f>AH40*'Model Inputs'!$D$73</f>
        <v>0</v>
      </c>
      <c r="AI53" s="27">
        <f>AI40*'Model Inputs'!$D$73</f>
        <v>0</v>
      </c>
      <c r="AJ53" s="27">
        <f>AJ40*'Model Inputs'!$D$73</f>
        <v>0</v>
      </c>
      <c r="AK53" s="27">
        <f>AK40*'Model Inputs'!$D$73</f>
        <v>0</v>
      </c>
      <c r="AL53" s="27">
        <f>AL40*'Model Inputs'!$D$73</f>
        <v>0</v>
      </c>
      <c r="AM53" s="27">
        <f>AM40*'Model Inputs'!$D$73</f>
        <v>0</v>
      </c>
      <c r="AN53" s="27">
        <f>AN40*'Model Inputs'!$D$73</f>
        <v>0</v>
      </c>
      <c r="AO53" s="27">
        <f>AO40*'Model Inputs'!$D$73</f>
        <v>0</v>
      </c>
      <c r="AP53" s="27">
        <f>AP40*'Model Inputs'!$D$73</f>
        <v>0</v>
      </c>
      <c r="AQ53" s="27">
        <f>AQ40*'Model Inputs'!$D$73</f>
        <v>0</v>
      </c>
      <c r="AR53" s="27">
        <f>AR40*'Model Inputs'!$D$73</f>
        <v>0</v>
      </c>
      <c r="AS53" s="27">
        <f>AS40*'Model Inputs'!$D$73</f>
        <v>0</v>
      </c>
      <c r="AT53" s="27">
        <f>AT40*'Model Inputs'!$D$73</f>
        <v>0</v>
      </c>
      <c r="AU53" s="27">
        <f>AU40*'Model Inputs'!$D$73</f>
        <v>0</v>
      </c>
      <c r="AV53" s="27">
        <f>AV40*'Model Inputs'!$D$73</f>
        <v>0</v>
      </c>
      <c r="AW53" s="27">
        <f>AW40*'Model Inputs'!$D$73</f>
        <v>0</v>
      </c>
      <c r="AX53" s="27">
        <f>AX40*'Model Inputs'!$D$73</f>
        <v>0</v>
      </c>
      <c r="AY53" s="27">
        <f>AY40*'Model Inputs'!$D$73</f>
        <v>0</v>
      </c>
      <c r="AZ53" s="27">
        <f>AZ40*'Model Inputs'!$D$73</f>
        <v>0</v>
      </c>
      <c r="BA53" s="27">
        <f>BA40*'Model Inputs'!$D$73</f>
        <v>0</v>
      </c>
      <c r="BB53" s="27">
        <f>BB40*'Model Inputs'!$D$73</f>
        <v>0</v>
      </c>
      <c r="BC53" s="27">
        <f>BC40*'Model Inputs'!$D$73</f>
        <v>0</v>
      </c>
      <c r="BD53" s="27">
        <f>BD40*'Model Inputs'!$D$73</f>
        <v>0</v>
      </c>
      <c r="BE53" s="27">
        <f>BE40*'Model Inputs'!$D$73</f>
        <v>0</v>
      </c>
      <c r="BF53" s="27">
        <f>BF40*'Model Inputs'!$D$73</f>
        <v>0</v>
      </c>
      <c r="BG53" s="27">
        <f>BG40*'Model Inputs'!$D$73</f>
        <v>0</v>
      </c>
      <c r="BH53" s="27">
        <f>BH40*'Model Inputs'!$D$73</f>
        <v>0</v>
      </c>
      <c r="BI53" s="27">
        <f>BI40*'Model Inputs'!$D$73</f>
        <v>0</v>
      </c>
      <c r="BJ53" s="27">
        <f>BJ40*'Model Inputs'!$D$73</f>
        <v>0</v>
      </c>
      <c r="BK53" s="27">
        <f>BK40*'Model Inputs'!$D$73</f>
        <v>0</v>
      </c>
      <c r="BL53" s="27">
        <f>BL40*'Model Inputs'!$D$73</f>
        <v>0</v>
      </c>
      <c r="BM53" s="27">
        <f>BM40*'Model Inputs'!$D$73</f>
        <v>0</v>
      </c>
      <c r="BN53" s="27">
        <f>BN40*'Model Inputs'!$D$73</f>
        <v>0</v>
      </c>
      <c r="BO53" s="27">
        <f>BO40*'Model Inputs'!$D$73</f>
        <v>0</v>
      </c>
    </row>
    <row r="54" spans="1:67" ht="15" customHeight="1" x14ac:dyDescent="0.2">
      <c r="A54" s="14" t="s">
        <v>210</v>
      </c>
      <c r="B54" s="68">
        <f t="shared" si="29"/>
        <v>3505.8437589449572</v>
      </c>
      <c r="C54" s="27">
        <f>C41*'Model Inputs'!$D$74</f>
        <v>138.65802692804661</v>
      </c>
      <c r="D54" s="27">
        <f>D41*'Model Inputs'!$D$74</f>
        <v>137.62669241137127</v>
      </c>
      <c r="E54" s="27">
        <f>E41*'Model Inputs'!$D$74</f>
        <v>137.36078779860534</v>
      </c>
      <c r="F54" s="27">
        <f>F41*'Model Inputs'!$D$74</f>
        <v>135.72901201860714</v>
      </c>
      <c r="G54" s="27">
        <f>G41*'Model Inputs'!$D$74</f>
        <v>138.69921062939036</v>
      </c>
      <c r="H54" s="27">
        <f>H41*'Model Inputs'!$D$74</f>
        <v>141.72221277103199</v>
      </c>
      <c r="I54" s="27">
        <f>I41*'Model Inputs'!$D$74</f>
        <v>144.80567495550642</v>
      </c>
      <c r="J54" s="27">
        <f>J41*'Model Inputs'!$D$74</f>
        <v>147.95080638367034</v>
      </c>
      <c r="K54" s="27">
        <f>K41*'Model Inputs'!$D$74</f>
        <v>151.15884044039757</v>
      </c>
      <c r="L54" s="27">
        <f>L41*'Model Inputs'!$D$74</f>
        <v>154.43103517825932</v>
      </c>
      <c r="M54" s="27">
        <f>M41*'Model Inputs'!$D$74</f>
        <v>157.76867381087831</v>
      </c>
      <c r="N54" s="27">
        <f>N41*'Model Inputs'!$D$74</f>
        <v>161.17306521614969</v>
      </c>
      <c r="O54" s="27">
        <f>O41*'Model Inputs'!$D$74</f>
        <v>164.64554444952648</v>
      </c>
      <c r="P54" s="27">
        <f>P41*'Model Inputs'!$D$74</f>
        <v>168.18747326757082</v>
      </c>
      <c r="Q54" s="27">
        <f>Q41*'Model Inputs'!$D$74</f>
        <v>171.80024066197601</v>
      </c>
      <c r="R54" s="27">
        <f>R41*'Model Inputs'!$D$74</f>
        <v>175.48526340426935</v>
      </c>
      <c r="S54" s="27">
        <f>S41*'Model Inputs'!$D$74</f>
        <v>179.24398660140855</v>
      </c>
      <c r="T54" s="27">
        <f>T41*'Model Inputs'!$D$74</f>
        <v>183.07788426249053</v>
      </c>
      <c r="U54" s="27">
        <f>U41*'Model Inputs'!$D$74</f>
        <v>186.98845987679414</v>
      </c>
      <c r="V54" s="27">
        <f>V41*'Model Inputs'!$D$74</f>
        <v>190.97724700338378</v>
      </c>
      <c r="W54" s="27">
        <f>W41*'Model Inputs'!$D$74</f>
        <v>195.04580987250526</v>
      </c>
      <c r="X54" s="27">
        <f>X41*'Model Inputs'!$D$74</f>
        <v>143.30781100311773</v>
      </c>
      <c r="Y54" s="27">
        <f>Y41*'Model Inputs'!$D$74</f>
        <v>0</v>
      </c>
      <c r="Z54" s="27">
        <f>Z41*'Model Inputs'!$D$74</f>
        <v>0</v>
      </c>
      <c r="AA54" s="27">
        <f>AA41*'Model Inputs'!$D$74</f>
        <v>0</v>
      </c>
      <c r="AB54" s="27">
        <f>AB41*'Model Inputs'!$D$74</f>
        <v>0</v>
      </c>
      <c r="AC54" s="27">
        <f>AC41*'Model Inputs'!$D$74</f>
        <v>0</v>
      </c>
      <c r="AD54" s="27">
        <f>AD41*'Model Inputs'!$D$74</f>
        <v>0</v>
      </c>
      <c r="AE54" s="27">
        <f>AE41*'Model Inputs'!$D$74</f>
        <v>0</v>
      </c>
      <c r="AF54" s="27">
        <f>AF41*'Model Inputs'!$D$74</f>
        <v>0</v>
      </c>
      <c r="AG54" s="27">
        <f>AG41*'Model Inputs'!$D$74</f>
        <v>0</v>
      </c>
      <c r="AH54" s="27">
        <f>AH41*'Model Inputs'!$D$74</f>
        <v>0</v>
      </c>
      <c r="AI54" s="27">
        <f>AI41*'Model Inputs'!$D$74</f>
        <v>0</v>
      </c>
      <c r="AJ54" s="27">
        <f>AJ41*'Model Inputs'!$D$74</f>
        <v>0</v>
      </c>
      <c r="AK54" s="27">
        <f>AK41*'Model Inputs'!$D$74</f>
        <v>0</v>
      </c>
      <c r="AL54" s="27">
        <f>AL41*'Model Inputs'!$D$74</f>
        <v>0</v>
      </c>
      <c r="AM54" s="27">
        <f>AM41*'Model Inputs'!$D$74</f>
        <v>0</v>
      </c>
      <c r="AN54" s="27">
        <f>AN41*'Model Inputs'!$D$74</f>
        <v>0</v>
      </c>
      <c r="AO54" s="27">
        <f>AO41*'Model Inputs'!$D$74</f>
        <v>0</v>
      </c>
      <c r="AP54" s="27">
        <f>AP41*'Model Inputs'!$D$74</f>
        <v>0</v>
      </c>
      <c r="AQ54" s="27">
        <f>AQ41*'Model Inputs'!$D$74</f>
        <v>0</v>
      </c>
      <c r="AR54" s="27">
        <f>AR41*'Model Inputs'!$D$74</f>
        <v>0</v>
      </c>
      <c r="AS54" s="27">
        <f>AS41*'Model Inputs'!$D$74</f>
        <v>0</v>
      </c>
      <c r="AT54" s="27">
        <f>AT41*'Model Inputs'!$D$74</f>
        <v>0</v>
      </c>
      <c r="AU54" s="27">
        <f>AU41*'Model Inputs'!$D$74</f>
        <v>0</v>
      </c>
      <c r="AV54" s="27">
        <f>AV41*'Model Inputs'!$D$74</f>
        <v>0</v>
      </c>
      <c r="AW54" s="27">
        <f>AW41*'Model Inputs'!$D$74</f>
        <v>0</v>
      </c>
      <c r="AX54" s="27">
        <f>AX41*'Model Inputs'!$D$74</f>
        <v>0</v>
      </c>
      <c r="AY54" s="27">
        <f>AY41*'Model Inputs'!$D$74</f>
        <v>0</v>
      </c>
      <c r="AZ54" s="27">
        <f>AZ41*'Model Inputs'!$D$74</f>
        <v>0</v>
      </c>
      <c r="BA54" s="27">
        <f>BA41*'Model Inputs'!$D$74</f>
        <v>0</v>
      </c>
      <c r="BB54" s="27">
        <f>BB41*'Model Inputs'!$D$74</f>
        <v>0</v>
      </c>
      <c r="BC54" s="27">
        <f>BC41*'Model Inputs'!$D$74</f>
        <v>0</v>
      </c>
      <c r="BD54" s="27">
        <f>BD41*'Model Inputs'!$D$74</f>
        <v>0</v>
      </c>
      <c r="BE54" s="27">
        <f>BE41*'Model Inputs'!$D$74</f>
        <v>0</v>
      </c>
      <c r="BF54" s="27">
        <f>BF41*'Model Inputs'!$D$74</f>
        <v>0</v>
      </c>
      <c r="BG54" s="27">
        <f>BG41*'Model Inputs'!$D$74</f>
        <v>0</v>
      </c>
      <c r="BH54" s="27">
        <f>BH41*'Model Inputs'!$D$74</f>
        <v>0</v>
      </c>
      <c r="BI54" s="27">
        <f>BI41*'Model Inputs'!$D$74</f>
        <v>0</v>
      </c>
      <c r="BJ54" s="27">
        <f>BJ41*'Model Inputs'!$D$74</f>
        <v>0</v>
      </c>
      <c r="BK54" s="27">
        <f>BK41*'Model Inputs'!$D$74</f>
        <v>0</v>
      </c>
      <c r="BL54" s="27">
        <f>BL41*'Model Inputs'!$D$74</f>
        <v>0</v>
      </c>
      <c r="BM54" s="27">
        <f>BM41*'Model Inputs'!$D$74</f>
        <v>0</v>
      </c>
      <c r="BN54" s="27">
        <f>BN41*'Model Inputs'!$D$74</f>
        <v>0</v>
      </c>
      <c r="BO54" s="27">
        <f>BO41*'Model Inputs'!$D$74</f>
        <v>0</v>
      </c>
    </row>
    <row r="55" spans="1:67" ht="15" customHeight="1" x14ac:dyDescent="0.2">
      <c r="A55" s="14" t="s">
        <v>211</v>
      </c>
      <c r="B55" s="68">
        <f t="shared" si="29"/>
        <v>4490.3046986811969</v>
      </c>
      <c r="C55" s="27">
        <f>C42*'Model Inputs'!$D$75</f>
        <v>178.29503936545731</v>
      </c>
      <c r="D55" s="27">
        <f>D42*'Model Inputs'!$D$75</f>
        <v>177.00587121961311</v>
      </c>
      <c r="E55" s="27">
        <f>E42*'Model Inputs'!$D$75</f>
        <v>176.67349045365569</v>
      </c>
      <c r="F55" s="27">
        <f>F42*'Model Inputs'!$D$75</f>
        <v>174.63377072865796</v>
      </c>
      <c r="G55" s="27">
        <f>G42*'Model Inputs'!$D$75</f>
        <v>178.34651899213702</v>
      </c>
      <c r="H55" s="27">
        <f>H42*'Model Inputs'!$D$75</f>
        <v>182.125271669189</v>
      </c>
      <c r="I55" s="27">
        <f>I42*'Model Inputs'!$D$75</f>
        <v>185.97959939978205</v>
      </c>
      <c r="J55" s="27">
        <f>J42*'Model Inputs'!$D$75</f>
        <v>189.91101368498695</v>
      </c>
      <c r="K55" s="27">
        <f>K42*'Model Inputs'!$D$75</f>
        <v>193.92105625589599</v>
      </c>
      <c r="L55" s="27">
        <f>L42*'Model Inputs'!$D$75</f>
        <v>198.0112996782232</v>
      </c>
      <c r="M55" s="27">
        <f>M42*'Model Inputs'!$D$75</f>
        <v>202.18334796899691</v>
      </c>
      <c r="N55" s="27">
        <f>N42*'Model Inputs'!$D$75</f>
        <v>206.43883722558616</v>
      </c>
      <c r="O55" s="27">
        <f>O42*'Model Inputs'!$D$75</f>
        <v>210.77943626730712</v>
      </c>
      <c r="P55" s="27">
        <f>P42*'Model Inputs'!$D$75</f>
        <v>215.20684728986254</v>
      </c>
      <c r="Q55" s="27">
        <f>Q42*'Model Inputs'!$D$75</f>
        <v>219.72280653286907</v>
      </c>
      <c r="R55" s="27">
        <f>R42*'Model Inputs'!$D$75</f>
        <v>224.32908496073571</v>
      </c>
      <c r="S55" s="27">
        <f>S42*'Model Inputs'!$D$75</f>
        <v>229.0274889571597</v>
      </c>
      <c r="T55" s="27">
        <f>T42*'Model Inputs'!$D$75</f>
        <v>233.81986103351218</v>
      </c>
      <c r="U55" s="27">
        <f>U42*'Model Inputs'!$D$75</f>
        <v>238.7080805513917</v>
      </c>
      <c r="V55" s="27">
        <f>V42*'Model Inputs'!$D$75</f>
        <v>243.69406445962881</v>
      </c>
      <c r="W55" s="27">
        <f>W42*'Model Inputs'!$D$75</f>
        <v>248.77976804603065</v>
      </c>
      <c r="X55" s="27">
        <f>X42*'Model Inputs'!$D$75</f>
        <v>182.71214394051802</v>
      </c>
      <c r="Y55" s="27">
        <f>Y42*'Model Inputs'!$D$75</f>
        <v>0</v>
      </c>
      <c r="Z55" s="27">
        <f>Z42*'Model Inputs'!$D$75</f>
        <v>0</v>
      </c>
      <c r="AA55" s="27">
        <f>AA42*'Model Inputs'!$D$75</f>
        <v>0</v>
      </c>
      <c r="AB55" s="27">
        <f>AB42*'Model Inputs'!$D$75</f>
        <v>0</v>
      </c>
      <c r="AC55" s="27">
        <f>AC42*'Model Inputs'!$D$75</f>
        <v>0</v>
      </c>
      <c r="AD55" s="27">
        <f>AD42*'Model Inputs'!$D$75</f>
        <v>0</v>
      </c>
      <c r="AE55" s="27">
        <f>AE42*'Model Inputs'!$D$75</f>
        <v>0</v>
      </c>
      <c r="AF55" s="27">
        <f>AF42*'Model Inputs'!$D$75</f>
        <v>0</v>
      </c>
      <c r="AG55" s="27">
        <f>AG42*'Model Inputs'!$D$75</f>
        <v>0</v>
      </c>
      <c r="AH55" s="27">
        <f>AH42*'Model Inputs'!$D$75</f>
        <v>0</v>
      </c>
      <c r="AI55" s="27">
        <f>AI42*'Model Inputs'!$D$75</f>
        <v>0</v>
      </c>
      <c r="AJ55" s="27">
        <f>AJ42*'Model Inputs'!$D$75</f>
        <v>0</v>
      </c>
      <c r="AK55" s="27">
        <f>AK42*'Model Inputs'!$D$75</f>
        <v>0</v>
      </c>
      <c r="AL55" s="27">
        <f>AL42*'Model Inputs'!$D$75</f>
        <v>0</v>
      </c>
      <c r="AM55" s="27">
        <f>AM42*'Model Inputs'!$D$75</f>
        <v>0</v>
      </c>
      <c r="AN55" s="27">
        <f>AN42*'Model Inputs'!$D$75</f>
        <v>0</v>
      </c>
      <c r="AO55" s="27">
        <f>AO42*'Model Inputs'!$D$75</f>
        <v>0</v>
      </c>
      <c r="AP55" s="27">
        <f>AP42*'Model Inputs'!$D$75</f>
        <v>0</v>
      </c>
      <c r="AQ55" s="27">
        <f>AQ42*'Model Inputs'!$D$75</f>
        <v>0</v>
      </c>
      <c r="AR55" s="27">
        <f>AR42*'Model Inputs'!$D$75</f>
        <v>0</v>
      </c>
      <c r="AS55" s="27">
        <f>AS42*'Model Inputs'!$D$75</f>
        <v>0</v>
      </c>
      <c r="AT55" s="27">
        <f>AT42*'Model Inputs'!$D$75</f>
        <v>0</v>
      </c>
      <c r="AU55" s="27">
        <f>AU42*'Model Inputs'!$D$75</f>
        <v>0</v>
      </c>
      <c r="AV55" s="27">
        <f>AV42*'Model Inputs'!$D$75</f>
        <v>0</v>
      </c>
      <c r="AW55" s="27">
        <f>AW42*'Model Inputs'!$D$75</f>
        <v>0</v>
      </c>
      <c r="AX55" s="27">
        <f>AX42*'Model Inputs'!$D$75</f>
        <v>0</v>
      </c>
      <c r="AY55" s="27">
        <f>AY42*'Model Inputs'!$D$75</f>
        <v>0</v>
      </c>
      <c r="AZ55" s="27">
        <f>AZ42*'Model Inputs'!$D$75</f>
        <v>0</v>
      </c>
      <c r="BA55" s="27">
        <f>BA42*'Model Inputs'!$D$75</f>
        <v>0</v>
      </c>
      <c r="BB55" s="27">
        <f>BB42*'Model Inputs'!$D$75</f>
        <v>0</v>
      </c>
      <c r="BC55" s="27">
        <f>BC42*'Model Inputs'!$D$75</f>
        <v>0</v>
      </c>
      <c r="BD55" s="27">
        <f>BD42*'Model Inputs'!$D$75</f>
        <v>0</v>
      </c>
      <c r="BE55" s="27">
        <f>BE42*'Model Inputs'!$D$75</f>
        <v>0</v>
      </c>
      <c r="BF55" s="27">
        <f>BF42*'Model Inputs'!$D$75</f>
        <v>0</v>
      </c>
      <c r="BG55" s="27">
        <f>BG42*'Model Inputs'!$D$75</f>
        <v>0</v>
      </c>
      <c r="BH55" s="27">
        <f>BH42*'Model Inputs'!$D$75</f>
        <v>0</v>
      </c>
      <c r="BI55" s="27">
        <f>BI42*'Model Inputs'!$D$75</f>
        <v>0</v>
      </c>
      <c r="BJ55" s="27">
        <f>BJ42*'Model Inputs'!$D$75</f>
        <v>0</v>
      </c>
      <c r="BK55" s="27">
        <f>BK42*'Model Inputs'!$D$75</f>
        <v>0</v>
      </c>
      <c r="BL55" s="27">
        <f>BL42*'Model Inputs'!$D$75</f>
        <v>0</v>
      </c>
      <c r="BM55" s="27">
        <f>BM42*'Model Inputs'!$D$75</f>
        <v>0</v>
      </c>
      <c r="BN55" s="27">
        <f>BN42*'Model Inputs'!$D$75</f>
        <v>0</v>
      </c>
      <c r="BO55" s="27">
        <f>BO42*'Model Inputs'!$D$75</f>
        <v>0</v>
      </c>
    </row>
    <row r="56" spans="1:67" ht="15" customHeight="1" x14ac:dyDescent="0.2">
      <c r="A56" s="14" t="s">
        <v>212</v>
      </c>
      <c r="B56" s="68">
        <f t="shared" si="29"/>
        <v>80302.932765305537</v>
      </c>
      <c r="C56" s="27">
        <f>C43*'Model Inputs'!$D$76</f>
        <v>1521.5916268234196</v>
      </c>
      <c r="D56" s="27">
        <f>D43*'Model Inputs'!$D$76</f>
        <v>1509.3961300429846</v>
      </c>
      <c r="E56" s="27">
        <f>E43*'Model Inputs'!$D$76</f>
        <v>1506.2518167319715</v>
      </c>
      <c r="F56" s="27">
        <f>F43*'Model Inputs'!$D$76</f>
        <v>1486.9561217371884</v>
      </c>
      <c r="G56" s="27">
        <f>G43*'Model Inputs'!$D$76</f>
        <v>1522.0786227389285</v>
      </c>
      <c r="H56" s="27">
        <f>H43*'Model Inputs'!$D$76</f>
        <v>1557.8255237584776</v>
      </c>
      <c r="I56" s="27">
        <f>I43*'Model Inputs'!$D$76</f>
        <v>1594.287362798417</v>
      </c>
      <c r="J56" s="27">
        <f>J43*'Model Inputs'!$D$76</f>
        <v>1631.4784386191563</v>
      </c>
      <c r="K56" s="27">
        <f>K43*'Model Inputs'!$D$76</f>
        <v>1669.4133359563102</v>
      </c>
      <c r="L56" s="27">
        <f>L43*'Model Inputs'!$D$76</f>
        <v>1708.1069312402069</v>
      </c>
      <c r="M56" s="27">
        <f>M43*'Model Inputs'!$D$76</f>
        <v>1747.574398429781</v>
      </c>
      <c r="N56" s="27">
        <f>N43*'Model Inputs'!$D$76</f>
        <v>1787.8312149631472</v>
      </c>
      <c r="O56" s="27">
        <f>O43*'Model Inputs'!$D$76</f>
        <v>1828.8931678271808</v>
      </c>
      <c r="P56" s="27">
        <f>P43*'Model Inputs'!$D$76</f>
        <v>1870.7763597484948</v>
      </c>
      <c r="Q56" s="27">
        <f>Q43*'Model Inputs'!$D$76</f>
        <v>1913.4972155082351</v>
      </c>
      <c r="R56" s="27">
        <f>R43*'Model Inputs'!$D$76</f>
        <v>1957.0724883831706</v>
      </c>
      <c r="S56" s="27">
        <f>S43*'Model Inputs'!$D$76</f>
        <v>2001.5192667156041</v>
      </c>
      <c r="T56" s="27">
        <f>T43*'Model Inputs'!$D$76</f>
        <v>2046.8549806146873</v>
      </c>
      <c r="U56" s="27">
        <f>U43*'Model Inputs'!$D$76</f>
        <v>2093.0974087917511</v>
      </c>
      <c r="V56" s="27">
        <f>V43*'Model Inputs'!$D$76</f>
        <v>2140.2646855323569</v>
      </c>
      <c r="W56" s="27">
        <f>W43*'Model Inputs'!$D$76</f>
        <v>2188.3753078077743</v>
      </c>
      <c r="X56" s="27">
        <f>X43*'Model Inputs'!$D$76</f>
        <v>2237.4481425287004</v>
      </c>
      <c r="Y56" s="27">
        <f>Y43*'Model Inputs'!$D$76</f>
        <v>2287.5024339440442</v>
      </c>
      <c r="Z56" s="27">
        <f>Z43*'Model Inputs'!$D$76</f>
        <v>2338.5578111876957</v>
      </c>
      <c r="AA56" s="27">
        <f>AA43*'Model Inputs'!$D$76</f>
        <v>2390.6342959762201</v>
      </c>
      <c r="AB56" s="27">
        <f>AB43*'Model Inputs'!$D$76</f>
        <v>2443.7523104605152</v>
      </c>
      <c r="AC56" s="27">
        <f>AC43*'Model Inputs'!$D$76</f>
        <v>2497.9326852344957</v>
      </c>
      <c r="AD56" s="27">
        <f>AD43*'Model Inputs'!$D$76</f>
        <v>2553.1966675039557</v>
      </c>
      <c r="AE56" s="27">
        <f>AE43*'Model Inputs'!$D$76</f>
        <v>2609.5659294188058</v>
      </c>
      <c r="AF56" s="27">
        <f>AF43*'Model Inputs'!$D$76</f>
        <v>2667.0625765719524</v>
      </c>
      <c r="AG56" s="27">
        <f>AG43*'Model Inputs'!$D$76</f>
        <v>2725.7091566681624</v>
      </c>
      <c r="AH56" s="27">
        <f>AH43*'Model Inputs'!$D$76</f>
        <v>2785.5286683662957</v>
      </c>
      <c r="AI56" s="27">
        <f>AI43*'Model Inputs'!$D$76</f>
        <v>2846.544570298393</v>
      </c>
      <c r="AJ56" s="27">
        <f>AJ43*'Model Inputs'!$D$76</f>
        <v>2908.7807902691306</v>
      </c>
      <c r="AK56" s="27">
        <f>AK43*'Model Inputs'!$D$76</f>
        <v>2972.261734639284</v>
      </c>
      <c r="AL56" s="27">
        <f>AL43*'Model Inputs'!$D$76</f>
        <v>3037.0122978968402</v>
      </c>
      <c r="AM56" s="27">
        <f>AM43*'Model Inputs'!$D$76</f>
        <v>3103.0578724195475</v>
      </c>
      <c r="AN56" s="27">
        <f>AN43*'Model Inputs'!$D$76</f>
        <v>615.24241715226071</v>
      </c>
      <c r="AO56" s="27">
        <f>AO43*'Model Inputs'!$D$76</f>
        <v>0</v>
      </c>
      <c r="AP56" s="27">
        <f>AP43*'Model Inputs'!$D$76</f>
        <v>0</v>
      </c>
      <c r="AQ56" s="27">
        <f>AQ43*'Model Inputs'!$D$76</f>
        <v>0</v>
      </c>
      <c r="AR56" s="27">
        <f>AR43*'Model Inputs'!$D$76</f>
        <v>0</v>
      </c>
      <c r="AS56" s="27">
        <f>AS43*'Model Inputs'!$D$76</f>
        <v>0</v>
      </c>
      <c r="AT56" s="27">
        <f>AT43*'Model Inputs'!$D$76</f>
        <v>0</v>
      </c>
      <c r="AU56" s="27">
        <f>AU43*'Model Inputs'!$D$76</f>
        <v>0</v>
      </c>
      <c r="AV56" s="27">
        <f>AV43*'Model Inputs'!$D$76</f>
        <v>0</v>
      </c>
      <c r="AW56" s="27">
        <f>AW43*'Model Inputs'!$D$76</f>
        <v>0</v>
      </c>
      <c r="AX56" s="27">
        <f>AX43*'Model Inputs'!$D$76</f>
        <v>0</v>
      </c>
      <c r="AY56" s="27">
        <f>AY43*'Model Inputs'!$D$76</f>
        <v>0</v>
      </c>
      <c r="AZ56" s="27">
        <f>AZ43*'Model Inputs'!$D$76</f>
        <v>0</v>
      </c>
      <c r="BA56" s="27">
        <f>BA43*'Model Inputs'!$D$76</f>
        <v>0</v>
      </c>
      <c r="BB56" s="27">
        <f>BB43*'Model Inputs'!$D$76</f>
        <v>0</v>
      </c>
      <c r="BC56" s="27">
        <f>BC43*'Model Inputs'!$D$76</f>
        <v>0</v>
      </c>
      <c r="BD56" s="27">
        <f>BD43*'Model Inputs'!$D$76</f>
        <v>0</v>
      </c>
      <c r="BE56" s="27">
        <f>BE43*'Model Inputs'!$D$76</f>
        <v>0</v>
      </c>
      <c r="BF56" s="27">
        <f>BF43*'Model Inputs'!$D$76</f>
        <v>0</v>
      </c>
      <c r="BG56" s="27">
        <f>BG43*'Model Inputs'!$D$76</f>
        <v>0</v>
      </c>
      <c r="BH56" s="27">
        <f>BH43*'Model Inputs'!$D$76</f>
        <v>0</v>
      </c>
      <c r="BI56" s="27">
        <f>BI43*'Model Inputs'!$D$76</f>
        <v>0</v>
      </c>
      <c r="BJ56" s="27">
        <f>BJ43*'Model Inputs'!$D$76</f>
        <v>0</v>
      </c>
      <c r="BK56" s="27">
        <f>BK43*'Model Inputs'!$D$76</f>
        <v>0</v>
      </c>
      <c r="BL56" s="27">
        <f>BL43*'Model Inputs'!$D$76</f>
        <v>0</v>
      </c>
      <c r="BM56" s="27">
        <f>BM43*'Model Inputs'!$D$76</f>
        <v>0</v>
      </c>
      <c r="BN56" s="27">
        <f>BN43*'Model Inputs'!$D$76</f>
        <v>0</v>
      </c>
      <c r="BO56" s="27">
        <f>BO43*'Model Inputs'!$D$76</f>
        <v>0</v>
      </c>
    </row>
    <row r="57" spans="1:67" ht="15" customHeight="1" x14ac:dyDescent="0.2">
      <c r="A57" s="14" t="s">
        <v>213</v>
      </c>
      <c r="B57" s="68">
        <f t="shared" si="29"/>
        <v>18244.435369551371</v>
      </c>
      <c r="C57" s="27">
        <f>C44*'Model Inputs'!$D$77</f>
        <v>291.17236753697097</v>
      </c>
      <c r="D57" s="27">
        <f>D44*'Model Inputs'!$D$77</f>
        <v>288.4501918699151</v>
      </c>
      <c r="E57" s="27">
        <f>E44*'Model Inputs'!$D$77</f>
        <v>287.74834484072551</v>
      </c>
      <c r="F57" s="27">
        <f>F44*'Model Inputs'!$D$77</f>
        <v>283.44132296704538</v>
      </c>
      <c r="G57" s="27">
        <f>G44*'Model Inputs'!$D$77</f>
        <v>291.28107064722724</v>
      </c>
      <c r="H57" s="27">
        <f>H44*'Model Inputs'!$D$77</f>
        <v>299.26019161950137</v>
      </c>
      <c r="I57" s="27">
        <f>I44*'Model Inputs'!$D$77</f>
        <v>307.39889501122087</v>
      </c>
      <c r="J57" s="27">
        <f>J44*'Model Inputs'!$D$77</f>
        <v>315.70037247077488</v>
      </c>
      <c r="K57" s="27">
        <f>K44*'Model Inputs'!$D$77</f>
        <v>324.16787947951991</v>
      </c>
      <c r="L57" s="27">
        <f>L44*'Model Inputs'!$D$77</f>
        <v>332.80473662843991</v>
      </c>
      <c r="M57" s="27">
        <f>M44*'Model Inputs'!$D$77</f>
        <v>341.6143309203382</v>
      </c>
      <c r="N57" s="27">
        <f>N44*'Model Inputs'!$D$77</f>
        <v>350.60011709807446</v>
      </c>
      <c r="O57" s="27">
        <f>O44*'Model Inputs'!$D$77</f>
        <v>359.76561899936553</v>
      </c>
      <c r="P57" s="27">
        <f>P44*'Model Inputs'!$D$77</f>
        <v>369.11443093868235</v>
      </c>
      <c r="Q57" s="27">
        <f>Q44*'Model Inputs'!$D$77</f>
        <v>378.65021911678554</v>
      </c>
      <c r="R57" s="27">
        <f>R44*'Model Inputs'!$D$77</f>
        <v>388.37672305845075</v>
      </c>
      <c r="S57" s="27">
        <f>S44*'Model Inputs'!$D$77</f>
        <v>398.29775707894936</v>
      </c>
      <c r="T57" s="27">
        <f>T44*'Model Inputs'!$D$77</f>
        <v>408.41721177985789</v>
      </c>
      <c r="U57" s="27">
        <f>U44*'Model Inputs'!$D$77</f>
        <v>418.73905557478457</v>
      </c>
      <c r="V57" s="27">
        <f>V44*'Model Inputs'!$D$77</f>
        <v>429.26733624560978</v>
      </c>
      <c r="W57" s="27">
        <f>W44*'Model Inputs'!$D$77</f>
        <v>440.00618252985151</v>
      </c>
      <c r="X57" s="27">
        <f>X44*'Model Inputs'!$D$77</f>
        <v>450.95980573977801</v>
      </c>
      <c r="Y57" s="27">
        <f>Y44*'Model Inputs'!$D$77</f>
        <v>462.13250141390313</v>
      </c>
      <c r="Z57" s="27">
        <f>Z44*'Model Inputs'!$D$77</f>
        <v>473.5286510015107</v>
      </c>
      <c r="AA57" s="27">
        <f>AA44*'Model Inputs'!$D$77</f>
        <v>485.15272358087037</v>
      </c>
      <c r="AB57" s="27">
        <f>AB44*'Model Inputs'!$D$77</f>
        <v>497.00927761181737</v>
      </c>
      <c r="AC57" s="27">
        <f>AC44*'Model Inputs'!$D$77</f>
        <v>509.1029627233832</v>
      </c>
      <c r="AD57" s="27">
        <f>AD44*'Model Inputs'!$D$77</f>
        <v>521.43852153718046</v>
      </c>
      <c r="AE57" s="27">
        <f>AE44*'Model Inputs'!$D$77</f>
        <v>534.02079152725366</v>
      </c>
      <c r="AF57" s="27">
        <f>AF44*'Model Inputs'!$D$77</f>
        <v>546.85470691712817</v>
      </c>
      <c r="AG57" s="27">
        <f>AG44*'Model Inputs'!$D$77</f>
        <v>559.94530061480043</v>
      </c>
      <c r="AH57" s="27">
        <f>AH44*'Model Inputs'!$D$77</f>
        <v>573.29770618642601</v>
      </c>
      <c r="AI57" s="27">
        <f>AI44*'Model Inputs'!$D$77</f>
        <v>586.91715986948407</v>
      </c>
      <c r="AJ57" s="27">
        <f>AJ44*'Model Inputs'!$D$77</f>
        <v>600.80900262620332</v>
      </c>
      <c r="AK57" s="27">
        <f>AK44*'Model Inputs'!$D$77</f>
        <v>614.97868223805688</v>
      </c>
      <c r="AL57" s="27">
        <f>AL44*'Model Inputs'!$D$77</f>
        <v>629.43175544214762</v>
      </c>
      <c r="AM57" s="27">
        <f>AM44*'Model Inputs'!$D$77</f>
        <v>644.17389011032003</v>
      </c>
      <c r="AN57" s="27">
        <f>AN44*'Model Inputs'!$D$77</f>
        <v>659.21086747185598</v>
      </c>
      <c r="AO57" s="27">
        <f>AO44*'Model Inputs'!$D$77</f>
        <v>674.54858438062263</v>
      </c>
      <c r="AP57" s="27">
        <f>AP44*'Model Inputs'!$D$77</f>
        <v>690.1930556275646</v>
      </c>
      <c r="AQ57" s="27">
        <f>AQ44*'Model Inputs'!$D$77</f>
        <v>226.45506651896929</v>
      </c>
      <c r="AR57" s="27">
        <f>AR44*'Model Inputs'!$D$77</f>
        <v>0</v>
      </c>
      <c r="AS57" s="27">
        <f>AS44*'Model Inputs'!$D$77</f>
        <v>0</v>
      </c>
      <c r="AT57" s="27">
        <f>AT44*'Model Inputs'!$D$77</f>
        <v>0</v>
      </c>
      <c r="AU57" s="27">
        <f>AU44*'Model Inputs'!$D$77</f>
        <v>0</v>
      </c>
      <c r="AV57" s="27">
        <f>AV44*'Model Inputs'!$D$77</f>
        <v>0</v>
      </c>
      <c r="AW57" s="27">
        <f>AW44*'Model Inputs'!$D$77</f>
        <v>0</v>
      </c>
      <c r="AX57" s="27">
        <f>AX44*'Model Inputs'!$D$77</f>
        <v>0</v>
      </c>
      <c r="AY57" s="27">
        <f>AY44*'Model Inputs'!$D$77</f>
        <v>0</v>
      </c>
      <c r="AZ57" s="27">
        <f>AZ44*'Model Inputs'!$D$77</f>
        <v>0</v>
      </c>
      <c r="BA57" s="27">
        <f>BA44*'Model Inputs'!$D$77</f>
        <v>0</v>
      </c>
      <c r="BB57" s="27">
        <f>BB44*'Model Inputs'!$D$77</f>
        <v>0</v>
      </c>
      <c r="BC57" s="27">
        <f>BC44*'Model Inputs'!$D$77</f>
        <v>0</v>
      </c>
      <c r="BD57" s="27">
        <f>BD44*'Model Inputs'!$D$77</f>
        <v>0</v>
      </c>
      <c r="BE57" s="27">
        <f>BE44*'Model Inputs'!$D$77</f>
        <v>0</v>
      </c>
      <c r="BF57" s="27">
        <f>BF44*'Model Inputs'!$D$77</f>
        <v>0</v>
      </c>
      <c r="BG57" s="27">
        <f>BG44*'Model Inputs'!$D$77</f>
        <v>0</v>
      </c>
      <c r="BH57" s="27">
        <f>BH44*'Model Inputs'!$D$77</f>
        <v>0</v>
      </c>
      <c r="BI57" s="27">
        <f>BI44*'Model Inputs'!$D$77</f>
        <v>0</v>
      </c>
      <c r="BJ57" s="27">
        <f>BJ44*'Model Inputs'!$D$77</f>
        <v>0</v>
      </c>
      <c r="BK57" s="27">
        <f>BK44*'Model Inputs'!$D$77</f>
        <v>0</v>
      </c>
      <c r="BL57" s="27">
        <f>BL44*'Model Inputs'!$D$77</f>
        <v>0</v>
      </c>
      <c r="BM57" s="27">
        <f>BM44*'Model Inputs'!$D$77</f>
        <v>0</v>
      </c>
      <c r="BN57" s="27">
        <f>BN44*'Model Inputs'!$D$77</f>
        <v>0</v>
      </c>
      <c r="BO57" s="27">
        <f>BO44*'Model Inputs'!$D$77</f>
        <v>0</v>
      </c>
    </row>
    <row r="58" spans="1:67" ht="15" customHeight="1" x14ac:dyDescent="0.2">
      <c r="A58" s="14" t="s">
        <v>214</v>
      </c>
      <c r="B58" s="68">
        <f t="shared" si="29"/>
        <v>165482.90161926224</v>
      </c>
      <c r="C58" s="27">
        <f>C45*'Model Inputs'!$D$78</f>
        <v>2935.9828653935811</v>
      </c>
      <c r="D58" s="27">
        <f>D45*'Model Inputs'!$D$78</f>
        <v>2878.2631184006964</v>
      </c>
      <c r="E58" s="27">
        <f>E45*'Model Inputs'!$D$78</f>
        <v>2872.4999134991926</v>
      </c>
      <c r="F58" s="27">
        <f>F45*'Model Inputs'!$D$78</f>
        <v>2838.9543264867129</v>
      </c>
      <c r="G58" s="27">
        <f>G45*'Model Inputs'!$D$78</f>
        <v>2897.6591037585522</v>
      </c>
      <c r="H58" s="27">
        <f>H45*'Model Inputs'!$D$78</f>
        <v>2957.3267636205637</v>
      </c>
      <c r="I58" s="27">
        <f>I45*'Model Inputs'!$D$78</f>
        <v>3018.1877766798157</v>
      </c>
      <c r="J58" s="27">
        <f>J45*'Model Inputs'!$D$78</f>
        <v>3080.2660100002527</v>
      </c>
      <c r="K58" s="27">
        <f>K45*'Model Inputs'!$D$78</f>
        <v>3143.5858079870982</v>
      </c>
      <c r="L58" s="27">
        <f>L45*'Model Inputs'!$D$78</f>
        <v>3208.1720019336808</v>
      </c>
      <c r="M58" s="27">
        <f>M45*'Model Inputs'!$D$78</f>
        <v>3274.0499197591953</v>
      </c>
      <c r="N58" s="27">
        <f>N45*'Model Inputs'!$D$78</f>
        <v>3341.2453959412201</v>
      </c>
      <c r="O58" s="27">
        <f>O45*'Model Inputs'!$D$78</f>
        <v>3409.7847816468852</v>
      </c>
      <c r="P58" s="27">
        <f>P45*'Model Inputs'!$D$78</f>
        <v>3479.6949550666632</v>
      </c>
      <c r="Q58" s="27">
        <f>Q45*'Model Inputs'!$D$78</f>
        <v>3551.0033319548374</v>
      </c>
      <c r="R58" s="27">
        <f>R45*'Model Inputs'!$D$78</f>
        <v>3623.7378763807747</v>
      </c>
      <c r="S58" s="27">
        <f>S45*'Model Inputs'!$D$78</f>
        <v>3697.9271116952309</v>
      </c>
      <c r="T58" s="27">
        <f>T45*'Model Inputs'!$D$78</f>
        <v>3773.6001317159757</v>
      </c>
      <c r="U58" s="27">
        <f>U45*'Model Inputs'!$D$78</f>
        <v>3850.7866121371362</v>
      </c>
      <c r="V58" s="27">
        <f>V45*'Model Inputs'!$D$78</f>
        <v>3929.51682216672</v>
      </c>
      <c r="W58" s="27">
        <f>W45*'Model Inputs'!$D$78</f>
        <v>4009.8216363968954</v>
      </c>
      <c r="X58" s="27">
        <f>X45*'Model Inputs'!$D$78</f>
        <v>4091.7325469116745</v>
      </c>
      <c r="Y58" s="27">
        <f>Y45*'Model Inputs'!$D$78</f>
        <v>4175.2816756367492</v>
      </c>
      <c r="Z58" s="27">
        <f>Z45*'Model Inputs'!$D$78</f>
        <v>4260.5017869363246</v>
      </c>
      <c r="AA58" s="27">
        <f>AA45*'Model Inputs'!$D$78</f>
        <v>4347.4263004618915</v>
      </c>
      <c r="AB58" s="27">
        <f>AB45*'Model Inputs'!$D$78</f>
        <v>4436.089304257971</v>
      </c>
      <c r="AC58" s="27">
        <f>AC45*'Model Inputs'!$D$78</f>
        <v>4526.5255681299705</v>
      </c>
      <c r="AD58" s="27">
        <f>AD45*'Model Inputs'!$D$78</f>
        <v>4618.7705572794102</v>
      </c>
      <c r="AE58" s="27">
        <f>AE45*'Model Inputs'!$D$78</f>
        <v>4712.8604462118392</v>
      </c>
      <c r="AF58" s="27">
        <f>AF45*'Model Inputs'!$D$78</f>
        <v>4808.8321329229175</v>
      </c>
      <c r="AG58" s="27">
        <f>AG45*'Model Inputs'!$D$78</f>
        <v>4906.7232533682163</v>
      </c>
      <c r="AH58" s="27">
        <f>AH45*'Model Inputs'!$D$78</f>
        <v>5006.5721962224216</v>
      </c>
      <c r="AI58" s="27">
        <f>AI45*'Model Inputs'!$D$78</f>
        <v>5108.4181179337111</v>
      </c>
      <c r="AJ58" s="27">
        <f>AJ45*'Model Inputs'!$D$78</f>
        <v>5212.3009580792259</v>
      </c>
      <c r="AK58" s="27">
        <f>AK45*'Model Inputs'!$D$78</f>
        <v>5318.2614550276512</v>
      </c>
      <c r="AL58" s="27">
        <f>AL45*'Model Inputs'!$D$78</f>
        <v>5426.3411619150447</v>
      </c>
      <c r="AM58" s="27">
        <f>AM45*'Model Inputs'!$D$78</f>
        <v>5536.5824629401859</v>
      </c>
      <c r="AN58" s="27">
        <f>AN45*'Model Inputs'!$D$78</f>
        <v>5649.02858998583</v>
      </c>
      <c r="AO58" s="27">
        <f>AO45*'Model Inputs'!$D$78</f>
        <v>5763.7236395723876</v>
      </c>
      <c r="AP58" s="27">
        <f>AP45*'Model Inputs'!$D$78</f>
        <v>5880.712590150677</v>
      </c>
      <c r="AQ58" s="27">
        <f>AQ45*'Model Inputs'!$D$78</f>
        <v>1924.1506126964146</v>
      </c>
      <c r="AR58" s="27">
        <f>AR45*'Model Inputs'!$D$78</f>
        <v>0</v>
      </c>
      <c r="AS58" s="27">
        <f>AS45*'Model Inputs'!$D$78</f>
        <v>0</v>
      </c>
      <c r="AT58" s="27">
        <f>AT45*'Model Inputs'!$D$78</f>
        <v>0</v>
      </c>
      <c r="AU58" s="27">
        <f>AU45*'Model Inputs'!$D$78</f>
        <v>0</v>
      </c>
      <c r="AV58" s="27">
        <f>AV45*'Model Inputs'!$D$78</f>
        <v>0</v>
      </c>
      <c r="AW58" s="27">
        <f>AW45*'Model Inputs'!$D$78</f>
        <v>0</v>
      </c>
      <c r="AX58" s="27">
        <f>AX45*'Model Inputs'!$D$78</f>
        <v>0</v>
      </c>
      <c r="AY58" s="27">
        <f>AY45*'Model Inputs'!$D$78</f>
        <v>0</v>
      </c>
      <c r="AZ58" s="27">
        <f>AZ45*'Model Inputs'!$D$78</f>
        <v>0</v>
      </c>
      <c r="BA58" s="27">
        <f>BA45*'Model Inputs'!$D$78</f>
        <v>0</v>
      </c>
      <c r="BB58" s="27">
        <f>BB45*'Model Inputs'!$D$78</f>
        <v>0</v>
      </c>
      <c r="BC58" s="27">
        <f>BC45*'Model Inputs'!$D$78</f>
        <v>0</v>
      </c>
      <c r="BD58" s="27">
        <f>BD45*'Model Inputs'!$D$78</f>
        <v>0</v>
      </c>
      <c r="BE58" s="27">
        <f>BE45*'Model Inputs'!$D$78</f>
        <v>0</v>
      </c>
      <c r="BF58" s="27">
        <f>BF45*'Model Inputs'!$D$78</f>
        <v>0</v>
      </c>
      <c r="BG58" s="27">
        <f>BG45*'Model Inputs'!$D$78</f>
        <v>0</v>
      </c>
      <c r="BH58" s="27">
        <f>BH45*'Model Inputs'!$D$78</f>
        <v>0</v>
      </c>
      <c r="BI58" s="27">
        <f>BI45*'Model Inputs'!$D$78</f>
        <v>0</v>
      </c>
      <c r="BJ58" s="27">
        <f>BJ45*'Model Inputs'!$D$78</f>
        <v>0</v>
      </c>
      <c r="BK58" s="27">
        <f>BK45*'Model Inputs'!$D$78</f>
        <v>0</v>
      </c>
      <c r="BL58" s="27">
        <f>BL45*'Model Inputs'!$D$78</f>
        <v>0</v>
      </c>
      <c r="BM58" s="27">
        <f>BM45*'Model Inputs'!$D$78</f>
        <v>0</v>
      </c>
      <c r="BN58" s="27">
        <f>BN45*'Model Inputs'!$D$78</f>
        <v>0</v>
      </c>
      <c r="BO58" s="27">
        <f>BO45*'Model Inputs'!$D$78</f>
        <v>0</v>
      </c>
    </row>
    <row r="59" spans="1:67" ht="15" customHeight="1" x14ac:dyDescent="0.2">
      <c r="A59" s="14" t="s">
        <v>215</v>
      </c>
      <c r="B59" s="68">
        <f t="shared" si="29"/>
        <v>11398.460564265879</v>
      </c>
      <c r="C59" s="27">
        <f>C46*'Model Inputs'!$D$79</f>
        <v>455.73758235380598</v>
      </c>
      <c r="D59" s="27">
        <f>D46*'Model Inputs'!$D$79</f>
        <v>452.86135905084728</v>
      </c>
      <c r="E59" s="27">
        <f>E46*'Model Inputs'!$D$79</f>
        <v>452.0349242380704</v>
      </c>
      <c r="F59" s="27">
        <f>F46*'Model Inputs'!$D$79</f>
        <v>447.02397965984017</v>
      </c>
      <c r="G59" s="27">
        <f>G46*'Model Inputs'!$D$79</f>
        <v>456.28229630914194</v>
      </c>
      <c r="H59" s="27">
        <f>H46*'Model Inputs'!$D$79</f>
        <v>465.40794223532464</v>
      </c>
      <c r="I59" s="27">
        <f>I46*'Model Inputs'!$D$79</f>
        <v>474.71610108003114</v>
      </c>
      <c r="J59" s="27">
        <f>J46*'Model Inputs'!$D$79</f>
        <v>484.21042310163176</v>
      </c>
      <c r="K59" s="27">
        <f>K46*'Model Inputs'!$D$79</f>
        <v>493.8946315636644</v>
      </c>
      <c r="L59" s="27">
        <f>L46*'Model Inputs'!$D$79</f>
        <v>503.77252419493772</v>
      </c>
      <c r="M59" s="27">
        <f>M46*'Model Inputs'!$D$79</f>
        <v>513.84797467883652</v>
      </c>
      <c r="N59" s="27">
        <f>N46*'Model Inputs'!$D$79</f>
        <v>524.1249341724133</v>
      </c>
      <c r="O59" s="27">
        <f>O46*'Model Inputs'!$D$79</f>
        <v>534.60743285586159</v>
      </c>
      <c r="P59" s="27">
        <f>P46*'Model Inputs'!$D$79</f>
        <v>545.29958151297876</v>
      </c>
      <c r="Q59" s="27">
        <f>Q46*'Model Inputs'!$D$79</f>
        <v>556.20557314323833</v>
      </c>
      <c r="R59" s="27">
        <f>R46*'Model Inputs'!$D$79</f>
        <v>567.32968460610311</v>
      </c>
      <c r="S59" s="27">
        <f>S46*'Model Inputs'!$D$79</f>
        <v>578.67627829822527</v>
      </c>
      <c r="T59" s="27">
        <f>T46*'Model Inputs'!$D$79</f>
        <v>590.24980386418974</v>
      </c>
      <c r="U59" s="27">
        <f>U46*'Model Inputs'!$D$79</f>
        <v>602.05479994147345</v>
      </c>
      <c r="V59" s="27">
        <f>V46*'Model Inputs'!$D$79</f>
        <v>614.09589594030308</v>
      </c>
      <c r="W59" s="27">
        <f>W46*'Model Inputs'!$D$79</f>
        <v>626.3778138591091</v>
      </c>
      <c r="X59" s="27">
        <f>X46*'Model Inputs'!$D$79</f>
        <v>459.64902760585102</v>
      </c>
      <c r="Y59" s="27">
        <f>Y46*'Model Inputs'!$D$79</f>
        <v>0</v>
      </c>
      <c r="Z59" s="27">
        <f>Z46*'Model Inputs'!$D$79</f>
        <v>0</v>
      </c>
      <c r="AA59" s="27">
        <f>AA46*'Model Inputs'!$D$79</f>
        <v>0</v>
      </c>
      <c r="AB59" s="27">
        <f>AB46*'Model Inputs'!$D$79</f>
        <v>0</v>
      </c>
      <c r="AC59" s="27">
        <f>AC46*'Model Inputs'!$D$79</f>
        <v>0</v>
      </c>
      <c r="AD59" s="27">
        <f>AD46*'Model Inputs'!$D$79</f>
        <v>0</v>
      </c>
      <c r="AE59" s="27">
        <f>AE46*'Model Inputs'!$D$79</f>
        <v>0</v>
      </c>
      <c r="AF59" s="27">
        <f>AF46*'Model Inputs'!$D$79</f>
        <v>0</v>
      </c>
      <c r="AG59" s="27">
        <f>AG46*'Model Inputs'!$D$79</f>
        <v>0</v>
      </c>
      <c r="AH59" s="27">
        <f>AH46*'Model Inputs'!$D$79</f>
        <v>0</v>
      </c>
      <c r="AI59" s="27">
        <f>AI46*'Model Inputs'!$D$79</f>
        <v>0</v>
      </c>
      <c r="AJ59" s="27">
        <f>AJ46*'Model Inputs'!$D$79</f>
        <v>0</v>
      </c>
      <c r="AK59" s="27">
        <f>AK46*'Model Inputs'!$D$79</f>
        <v>0</v>
      </c>
      <c r="AL59" s="27">
        <f>AL46*'Model Inputs'!$D$79</f>
        <v>0</v>
      </c>
      <c r="AM59" s="27">
        <f>AM46*'Model Inputs'!$D$79</f>
        <v>0</v>
      </c>
      <c r="AN59" s="27">
        <f>AN46*'Model Inputs'!$D$79</f>
        <v>0</v>
      </c>
      <c r="AO59" s="27">
        <f>AO46*'Model Inputs'!$D$79</f>
        <v>0</v>
      </c>
      <c r="AP59" s="27">
        <f>AP46*'Model Inputs'!$D$79</f>
        <v>0</v>
      </c>
      <c r="AQ59" s="27">
        <f>AQ46*'Model Inputs'!$D$79</f>
        <v>0</v>
      </c>
      <c r="AR59" s="27">
        <f>AR46*'Model Inputs'!$D$79</f>
        <v>0</v>
      </c>
      <c r="AS59" s="27">
        <f>AS46*'Model Inputs'!$D$79</f>
        <v>0</v>
      </c>
      <c r="AT59" s="27">
        <f>AT46*'Model Inputs'!$D$79</f>
        <v>0</v>
      </c>
      <c r="AU59" s="27">
        <f>AU46*'Model Inputs'!$D$79</f>
        <v>0</v>
      </c>
      <c r="AV59" s="27">
        <f>AV46*'Model Inputs'!$D$79</f>
        <v>0</v>
      </c>
      <c r="AW59" s="27">
        <f>AW46*'Model Inputs'!$D$79</f>
        <v>0</v>
      </c>
      <c r="AX59" s="27">
        <f>AX46*'Model Inputs'!$D$79</f>
        <v>0</v>
      </c>
      <c r="AY59" s="27">
        <f>AY46*'Model Inputs'!$D$79</f>
        <v>0</v>
      </c>
      <c r="AZ59" s="27">
        <f>AZ46*'Model Inputs'!$D$79</f>
        <v>0</v>
      </c>
      <c r="BA59" s="27">
        <f>BA46*'Model Inputs'!$D$79</f>
        <v>0</v>
      </c>
      <c r="BB59" s="27">
        <f>BB46*'Model Inputs'!$D$79</f>
        <v>0</v>
      </c>
      <c r="BC59" s="27">
        <f>BC46*'Model Inputs'!$D$79</f>
        <v>0</v>
      </c>
      <c r="BD59" s="27">
        <f>BD46*'Model Inputs'!$D$79</f>
        <v>0</v>
      </c>
      <c r="BE59" s="27">
        <f>BE46*'Model Inputs'!$D$79</f>
        <v>0</v>
      </c>
      <c r="BF59" s="27">
        <f>BF46*'Model Inputs'!$D$79</f>
        <v>0</v>
      </c>
      <c r="BG59" s="27">
        <f>BG46*'Model Inputs'!$D$79</f>
        <v>0</v>
      </c>
      <c r="BH59" s="27">
        <f>BH46*'Model Inputs'!$D$79</f>
        <v>0</v>
      </c>
      <c r="BI59" s="27">
        <f>BI46*'Model Inputs'!$D$79</f>
        <v>0</v>
      </c>
      <c r="BJ59" s="27">
        <f>BJ46*'Model Inputs'!$D$79</f>
        <v>0</v>
      </c>
      <c r="BK59" s="27">
        <f>BK46*'Model Inputs'!$D$79</f>
        <v>0</v>
      </c>
      <c r="BL59" s="27">
        <f>BL46*'Model Inputs'!$D$79</f>
        <v>0</v>
      </c>
      <c r="BM59" s="27">
        <f>BM46*'Model Inputs'!$D$79</f>
        <v>0</v>
      </c>
      <c r="BN59" s="27">
        <f>BN46*'Model Inputs'!$D$79</f>
        <v>0</v>
      </c>
      <c r="BO59" s="27">
        <f>BO46*'Model Inputs'!$D$79</f>
        <v>0</v>
      </c>
    </row>
    <row r="60" spans="1:67" ht="15" customHeight="1" x14ac:dyDescent="0.2">
      <c r="A60" s="14" t="s">
        <v>216</v>
      </c>
      <c r="B60" s="68">
        <f t="shared" si="29"/>
        <v>8138.851142484501</v>
      </c>
      <c r="C60" s="27">
        <f>C47*'Model Inputs'!$D$80</f>
        <v>209.41851163252446</v>
      </c>
      <c r="D60" s="27">
        <f>D47*'Model Inputs'!$D$80</f>
        <v>264.99731290303708</v>
      </c>
      <c r="E60" s="27">
        <f>E47*'Model Inputs'!$D$80</f>
        <v>299.85181539471444</v>
      </c>
      <c r="F60" s="27">
        <f>F47*'Model Inputs'!$D$80</f>
        <v>329.05423640125497</v>
      </c>
      <c r="G60" s="27">
        <f>G47*'Model Inputs'!$D$80</f>
        <v>335.648331467248</v>
      </c>
      <c r="H60" s="27">
        <f>H47*'Model Inputs'!$D$80</f>
        <v>342.24242653324103</v>
      </c>
      <c r="I60" s="27">
        <f>I47*'Model Inputs'!$D$80</f>
        <v>348.9684035005539</v>
      </c>
      <c r="J60" s="27">
        <f>J47*'Model Inputs'!$D$80</f>
        <v>355.82890000721301</v>
      </c>
      <c r="K60" s="27">
        <f>K47*'Model Inputs'!$D$80</f>
        <v>362.82660644400539</v>
      </c>
      <c r="L60" s="27">
        <f>L47*'Model Inputs'!$D$80</f>
        <v>369.96426700953356</v>
      </c>
      <c r="M60" s="27">
        <f>M47*'Model Inputs'!$D$80</f>
        <v>377.24468078637233</v>
      </c>
      <c r="N60" s="27">
        <f>N47*'Model Inputs'!$D$80</f>
        <v>384.67070283874784</v>
      </c>
      <c r="O60" s="27">
        <f>O47*'Model Inputs'!$D$80</f>
        <v>392.24524533217084</v>
      </c>
      <c r="P60" s="27">
        <f>P47*'Model Inputs'!$D$80</f>
        <v>399.97127867546237</v>
      </c>
      <c r="Q60" s="27">
        <f>Q47*'Model Inputs'!$D$80</f>
        <v>407.85183268561968</v>
      </c>
      <c r="R60" s="27">
        <f>R47*'Model Inputs'!$D$80</f>
        <v>415.88999777598008</v>
      </c>
      <c r="S60" s="27">
        <f>S47*'Model Inputs'!$D$80</f>
        <v>424.08892616814779</v>
      </c>
      <c r="T60" s="27">
        <f>T47*'Model Inputs'!$D$80</f>
        <v>432.45183312815885</v>
      </c>
      <c r="U60" s="27">
        <f>U47*'Model Inputs'!$D$80</f>
        <v>440.98199822737007</v>
      </c>
      <c r="V60" s="27">
        <f>V47*'Model Inputs'!$D$80</f>
        <v>449.68276662856556</v>
      </c>
      <c r="W60" s="27">
        <f>W47*'Model Inputs'!$D$80</f>
        <v>458.55755039778489</v>
      </c>
      <c r="X60" s="27">
        <f>X47*'Model Inputs'!$D$80</f>
        <v>336.41351854679397</v>
      </c>
      <c r="Y60" s="27">
        <f>Y47*'Model Inputs'!$D$80</f>
        <v>0</v>
      </c>
      <c r="Z60" s="27">
        <f>Z47*'Model Inputs'!$D$80</f>
        <v>0</v>
      </c>
      <c r="AA60" s="27">
        <f>AA47*'Model Inputs'!$D$80</f>
        <v>0</v>
      </c>
      <c r="AB60" s="27">
        <f>AB47*'Model Inputs'!$D$80</f>
        <v>0</v>
      </c>
      <c r="AC60" s="27">
        <f>AC47*'Model Inputs'!$D$80</f>
        <v>0</v>
      </c>
      <c r="AD60" s="27">
        <f>AD47*'Model Inputs'!$D$80</f>
        <v>0</v>
      </c>
      <c r="AE60" s="27">
        <f>AE47*'Model Inputs'!$D$80</f>
        <v>0</v>
      </c>
      <c r="AF60" s="27">
        <f>AF47*'Model Inputs'!$D$80</f>
        <v>0</v>
      </c>
      <c r="AG60" s="27">
        <f>AG47*'Model Inputs'!$D$80</f>
        <v>0</v>
      </c>
      <c r="AH60" s="27">
        <f>AH47*'Model Inputs'!$D$80</f>
        <v>0</v>
      </c>
      <c r="AI60" s="27">
        <f>AI47*'Model Inputs'!$D$80</f>
        <v>0</v>
      </c>
      <c r="AJ60" s="27">
        <f>AJ47*'Model Inputs'!$D$80</f>
        <v>0</v>
      </c>
      <c r="AK60" s="27">
        <f>AK47*'Model Inputs'!$D$80</f>
        <v>0</v>
      </c>
      <c r="AL60" s="27">
        <f>AL47*'Model Inputs'!$D$80</f>
        <v>0</v>
      </c>
      <c r="AM60" s="27">
        <f>AM47*'Model Inputs'!$D$80</f>
        <v>0</v>
      </c>
      <c r="AN60" s="27">
        <f>AN47*'Model Inputs'!$D$80</f>
        <v>0</v>
      </c>
      <c r="AO60" s="27">
        <f>AO47*'Model Inputs'!$D$80</f>
        <v>0</v>
      </c>
      <c r="AP60" s="27">
        <f>AP47*'Model Inputs'!$D$80</f>
        <v>0</v>
      </c>
      <c r="AQ60" s="27">
        <f>AQ47*'Model Inputs'!$D$80</f>
        <v>0</v>
      </c>
      <c r="AR60" s="27">
        <f>AR47*'Model Inputs'!$D$80</f>
        <v>0</v>
      </c>
      <c r="AS60" s="27">
        <f>AS47*'Model Inputs'!$D$80</f>
        <v>0</v>
      </c>
      <c r="AT60" s="27">
        <f>AT47*'Model Inputs'!$D$80</f>
        <v>0</v>
      </c>
      <c r="AU60" s="27">
        <f>AU47*'Model Inputs'!$D$80</f>
        <v>0</v>
      </c>
      <c r="AV60" s="27">
        <f>AV47*'Model Inputs'!$D$80</f>
        <v>0</v>
      </c>
      <c r="AW60" s="27">
        <f>AW47*'Model Inputs'!$D$80</f>
        <v>0</v>
      </c>
      <c r="AX60" s="27">
        <f>AX47*'Model Inputs'!$D$80</f>
        <v>0</v>
      </c>
      <c r="AY60" s="27">
        <f>AY47*'Model Inputs'!$D$80</f>
        <v>0</v>
      </c>
      <c r="AZ60" s="27">
        <f>AZ47*'Model Inputs'!$D$80</f>
        <v>0</v>
      </c>
      <c r="BA60" s="27">
        <f>BA47*'Model Inputs'!$D$80</f>
        <v>0</v>
      </c>
      <c r="BB60" s="27">
        <f>BB47*'Model Inputs'!$D$80</f>
        <v>0</v>
      </c>
      <c r="BC60" s="27">
        <f>BC47*'Model Inputs'!$D$80</f>
        <v>0</v>
      </c>
      <c r="BD60" s="27">
        <f>BD47*'Model Inputs'!$D$80</f>
        <v>0</v>
      </c>
      <c r="BE60" s="27">
        <f>BE47*'Model Inputs'!$D$80</f>
        <v>0</v>
      </c>
      <c r="BF60" s="27">
        <f>BF47*'Model Inputs'!$D$80</f>
        <v>0</v>
      </c>
      <c r="BG60" s="27">
        <f>BG47*'Model Inputs'!$D$80</f>
        <v>0</v>
      </c>
      <c r="BH60" s="27">
        <f>BH47*'Model Inputs'!$D$80</f>
        <v>0</v>
      </c>
      <c r="BI60" s="27">
        <f>BI47*'Model Inputs'!$D$80</f>
        <v>0</v>
      </c>
      <c r="BJ60" s="27">
        <f>BJ47*'Model Inputs'!$D$80</f>
        <v>0</v>
      </c>
      <c r="BK60" s="27">
        <f>BK47*'Model Inputs'!$D$80</f>
        <v>0</v>
      </c>
      <c r="BL60" s="27">
        <f>BL47*'Model Inputs'!$D$80</f>
        <v>0</v>
      </c>
      <c r="BM60" s="27">
        <f>BM47*'Model Inputs'!$D$80</f>
        <v>0</v>
      </c>
      <c r="BN60" s="27">
        <f>BN47*'Model Inputs'!$D$80</f>
        <v>0</v>
      </c>
      <c r="BO60" s="27">
        <f>BO47*'Model Inputs'!$D$80</f>
        <v>0</v>
      </c>
    </row>
    <row r="61" spans="1:67" ht="15" customHeight="1" x14ac:dyDescent="0.2">
      <c r="A61" s="29" t="s">
        <v>220</v>
      </c>
      <c r="B61" s="69">
        <f t="shared" si="29"/>
        <v>296895.64771863201</v>
      </c>
      <c r="C61" s="69">
        <f t="shared" ref="C61:AH61" si="30">SUM(C53:C60)</f>
        <v>5944.7329853688143</v>
      </c>
      <c r="D61" s="69">
        <f t="shared" si="30"/>
        <v>5918.0484278181093</v>
      </c>
      <c r="E61" s="69">
        <f t="shared" si="30"/>
        <v>5941.4265964989427</v>
      </c>
      <c r="F61" s="69">
        <f t="shared" si="30"/>
        <v>5902.2241014119691</v>
      </c>
      <c r="G61" s="69">
        <f t="shared" si="30"/>
        <v>6030.9312871816419</v>
      </c>
      <c r="H61" s="69">
        <f t="shared" si="30"/>
        <v>6161.4251543467826</v>
      </c>
      <c r="I61" s="69">
        <f t="shared" si="30"/>
        <v>6294.5288988552265</v>
      </c>
      <c r="J61" s="69">
        <f t="shared" si="30"/>
        <v>6430.294718253841</v>
      </c>
      <c r="K61" s="69">
        <f t="shared" si="30"/>
        <v>6568.7758540404266</v>
      </c>
      <c r="L61" s="69">
        <f t="shared" si="30"/>
        <v>6710.0266125427452</v>
      </c>
      <c r="M61" s="69">
        <f t="shared" si="30"/>
        <v>6854.1023862151087</v>
      </c>
      <c r="N61" s="69">
        <f t="shared" si="30"/>
        <v>7001.0596753609216</v>
      </c>
      <c r="O61" s="69">
        <f t="shared" si="30"/>
        <v>7150.9561102896487</v>
      </c>
      <c r="P61" s="69">
        <f t="shared" si="30"/>
        <v>7303.8504739169502</v>
      </c>
      <c r="Q61" s="69">
        <f t="shared" si="30"/>
        <v>7459.8027248167982</v>
      </c>
      <c r="R61" s="69">
        <f t="shared" si="30"/>
        <v>7618.8740207346436</v>
      </c>
      <c r="S61" s="69">
        <f t="shared" si="30"/>
        <v>7781.1267425708456</v>
      </c>
      <c r="T61" s="69">
        <f t="shared" si="30"/>
        <v>7946.6245188437724</v>
      </c>
      <c r="U61" s="69">
        <f t="shared" si="30"/>
        <v>8115.4322506421568</v>
      </c>
      <c r="V61" s="69">
        <f t="shared" si="30"/>
        <v>8287.6161370765094</v>
      </c>
      <c r="W61" s="69">
        <f t="shared" si="30"/>
        <v>8463.2437012395476</v>
      </c>
      <c r="X61" s="69">
        <f t="shared" si="30"/>
        <v>8119.8981054706819</v>
      </c>
      <c r="Y61" s="69">
        <f t="shared" si="30"/>
        <v>6924.9166109946964</v>
      </c>
      <c r="Z61" s="69">
        <f t="shared" si="30"/>
        <v>7072.5882491255306</v>
      </c>
      <c r="AA61" s="69">
        <f t="shared" si="30"/>
        <v>7223.2133200189819</v>
      </c>
      <c r="AB61" s="69">
        <f t="shared" si="30"/>
        <v>7376.8508923303034</v>
      </c>
      <c r="AC61" s="69">
        <f t="shared" si="30"/>
        <v>7533.56121608785</v>
      </c>
      <c r="AD61" s="69">
        <f t="shared" si="30"/>
        <v>7693.4057463205463</v>
      </c>
      <c r="AE61" s="69">
        <f t="shared" si="30"/>
        <v>7856.4471671578985</v>
      </c>
      <c r="AF61" s="69">
        <f t="shared" si="30"/>
        <v>8022.749416411998</v>
      </c>
      <c r="AG61" s="69">
        <f t="shared" si="30"/>
        <v>8192.3777106511789</v>
      </c>
      <c r="AH61" s="69">
        <f t="shared" si="30"/>
        <v>8365.3985707751435</v>
      </c>
      <c r="AI61" s="69">
        <f t="shared" ref="AI61:BN61" si="31">SUM(AI53:AI60)</f>
        <v>8541.8798481015874</v>
      </c>
      <c r="AJ61" s="69">
        <f t="shared" si="31"/>
        <v>8721.8907509745604</v>
      </c>
      <c r="AK61" s="69">
        <f t="shared" si="31"/>
        <v>8905.5018719049913</v>
      </c>
      <c r="AL61" s="69">
        <f t="shared" si="31"/>
        <v>9092.7852152540327</v>
      </c>
      <c r="AM61" s="69">
        <f t="shared" si="31"/>
        <v>9283.8142254700542</v>
      </c>
      <c r="AN61" s="69">
        <f t="shared" si="31"/>
        <v>6923.4818746099463</v>
      </c>
      <c r="AO61" s="69">
        <f t="shared" si="31"/>
        <v>6438.2722239530103</v>
      </c>
      <c r="AP61" s="69">
        <f t="shared" si="31"/>
        <v>6570.9056457782417</v>
      </c>
      <c r="AQ61" s="68">
        <f t="shared" si="31"/>
        <v>2150.605679215384</v>
      </c>
      <c r="AR61" s="68">
        <f t="shared" si="31"/>
        <v>0</v>
      </c>
      <c r="AS61" s="68">
        <f t="shared" si="31"/>
        <v>0</v>
      </c>
      <c r="AT61" s="68">
        <f t="shared" si="31"/>
        <v>0</v>
      </c>
      <c r="AU61" s="68">
        <f t="shared" si="31"/>
        <v>0</v>
      </c>
      <c r="AV61" s="68">
        <f t="shared" si="31"/>
        <v>0</v>
      </c>
      <c r="AW61" s="68">
        <f t="shared" si="31"/>
        <v>0</v>
      </c>
      <c r="AX61" s="68">
        <f t="shared" si="31"/>
        <v>0</v>
      </c>
      <c r="AY61" s="68">
        <f t="shared" si="31"/>
        <v>0</v>
      </c>
      <c r="AZ61" s="68">
        <f t="shared" si="31"/>
        <v>0</v>
      </c>
      <c r="BA61" s="68">
        <f t="shared" si="31"/>
        <v>0</v>
      </c>
      <c r="BB61" s="68">
        <f t="shared" si="31"/>
        <v>0</v>
      </c>
      <c r="BC61" s="68">
        <f t="shared" si="31"/>
        <v>0</v>
      </c>
      <c r="BD61" s="68">
        <f t="shared" si="31"/>
        <v>0</v>
      </c>
      <c r="BE61" s="68">
        <f t="shared" si="31"/>
        <v>0</v>
      </c>
      <c r="BF61" s="68">
        <f t="shared" si="31"/>
        <v>0</v>
      </c>
      <c r="BG61" s="68">
        <f t="shared" si="31"/>
        <v>0</v>
      </c>
      <c r="BH61" s="68">
        <f t="shared" si="31"/>
        <v>0</v>
      </c>
      <c r="BI61" s="68">
        <f t="shared" si="31"/>
        <v>0</v>
      </c>
      <c r="BJ61" s="68">
        <f t="shared" si="31"/>
        <v>0</v>
      </c>
      <c r="BK61" s="68">
        <f t="shared" si="31"/>
        <v>0</v>
      </c>
      <c r="BL61" s="68">
        <f t="shared" si="31"/>
        <v>0</v>
      </c>
      <c r="BM61" s="68">
        <f t="shared" si="31"/>
        <v>0</v>
      </c>
      <c r="BN61" s="68">
        <f t="shared" si="31"/>
        <v>0</v>
      </c>
      <c r="BO61" s="68">
        <f t="shared" ref="BO61" si="32">SUM(BO53:BO60)</f>
        <v>0</v>
      </c>
    </row>
    <row r="63" spans="1:67" ht="15" customHeight="1" x14ac:dyDescent="0.2">
      <c r="A63" s="29" t="s">
        <v>745</v>
      </c>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row>
    <row r="64" spans="1:67" ht="15" customHeight="1" x14ac:dyDescent="0.2">
      <c r="A64" s="14" t="s">
        <v>221</v>
      </c>
      <c r="B64" s="72"/>
      <c r="C64" s="27">
        <f>1+'Model Inputs'!$B$8</f>
        <v>1</v>
      </c>
      <c r="D64" s="27">
        <f>C64*(1+'Model Inputs'!$B$9)</f>
        <v>1.02</v>
      </c>
      <c r="E64" s="27">
        <f>D64*(1+'Model Inputs'!$B$9)</f>
        <v>1.0404</v>
      </c>
      <c r="F64" s="27">
        <f>E64*(1+'Model Inputs'!$B$9)</f>
        <v>1.0612079999999999</v>
      </c>
      <c r="G64" s="27">
        <f>F64*(1+'Model Inputs'!$B$9)</f>
        <v>1.08243216</v>
      </c>
      <c r="H64" s="27">
        <f>G64*(1+'Model Inputs'!$B$9)</f>
        <v>1.1040808032</v>
      </c>
      <c r="I64" s="27">
        <f>H64*(1+'Model Inputs'!$B$9)</f>
        <v>1.1261624192640001</v>
      </c>
      <c r="J64" s="27">
        <f>I64*(1+'Model Inputs'!$B$9)</f>
        <v>1.14868566764928</v>
      </c>
      <c r="K64" s="27">
        <f>J64*(1+'Model Inputs'!$B$9)</f>
        <v>1.1716593810022657</v>
      </c>
      <c r="L64" s="27">
        <f>K64*(1+'Model Inputs'!$B$9)</f>
        <v>1.1950925686223111</v>
      </c>
      <c r="M64" s="27">
        <f>L64*(1+'Model Inputs'!$B$9)</f>
        <v>1.2189944199947573</v>
      </c>
      <c r="N64" s="27">
        <f>M64*(1+'Model Inputs'!$B$9)</f>
        <v>1.2433743083946525</v>
      </c>
      <c r="O64" s="27">
        <f>N64*(1+'Model Inputs'!$B$9)</f>
        <v>1.2682417945625455</v>
      </c>
      <c r="P64" s="27">
        <f>O64*(1+'Model Inputs'!$B$9)</f>
        <v>1.2936066304537963</v>
      </c>
      <c r="Q64" s="27">
        <f>P64*(1+'Model Inputs'!$B$9)</f>
        <v>1.3194787630628724</v>
      </c>
      <c r="R64" s="27">
        <f>Q64*(1+'Model Inputs'!$B$9)</f>
        <v>1.3458683383241299</v>
      </c>
      <c r="S64" s="27">
        <f>R64*(1+'Model Inputs'!$B$9)</f>
        <v>1.3727857050906125</v>
      </c>
      <c r="T64" s="27">
        <f>S64*(1+'Model Inputs'!$B$9)</f>
        <v>1.4002414191924248</v>
      </c>
      <c r="U64" s="27">
        <f>T64*(1+'Model Inputs'!$B$9)</f>
        <v>1.4282462475762734</v>
      </c>
      <c r="V64" s="27">
        <f>U64*(1+'Model Inputs'!$B$9)</f>
        <v>1.4568111725277988</v>
      </c>
      <c r="W64" s="27">
        <f>V64*(1+'Model Inputs'!$B$9)</f>
        <v>1.4859473959783549</v>
      </c>
      <c r="X64" s="27">
        <f>W64*(1+'Model Inputs'!$B$9)</f>
        <v>1.5156663438979221</v>
      </c>
      <c r="Y64" s="27">
        <f>X64*(1+'Model Inputs'!$B$9)</f>
        <v>1.5459796707758806</v>
      </c>
      <c r="Z64" s="27">
        <f>Y64*(1+'Model Inputs'!$B$9)</f>
        <v>1.5768992641913981</v>
      </c>
      <c r="AA64" s="27">
        <f>Z64*(1+'Model Inputs'!$B$9)</f>
        <v>1.6084372494752261</v>
      </c>
      <c r="AB64" s="27">
        <f>AA64*(1+'Model Inputs'!$B$9)</f>
        <v>1.6406059944647307</v>
      </c>
      <c r="AC64" s="27">
        <f>AB64*(1+'Model Inputs'!$B$9)</f>
        <v>1.6734181143540252</v>
      </c>
      <c r="AD64" s="27">
        <f>AC64*(1+'Model Inputs'!$B$9)</f>
        <v>1.7068864766411058</v>
      </c>
      <c r="AE64" s="27">
        <f>AD64*(1+'Model Inputs'!$B$9)</f>
        <v>1.7410242061739281</v>
      </c>
      <c r="AF64" s="27">
        <f>AE64*(1+'Model Inputs'!$B$9)</f>
        <v>1.7758446902974065</v>
      </c>
      <c r="AG64" s="27">
        <f>AF64*(1+'Model Inputs'!$B$9)</f>
        <v>1.8113615841033548</v>
      </c>
      <c r="AH64" s="27">
        <f>AG64*(1+'Model Inputs'!$B$9)</f>
        <v>1.8475888157854219</v>
      </c>
      <c r="AI64" s="27">
        <f>AH64*(1+'Model Inputs'!$B$9)</f>
        <v>1.8845405921011305</v>
      </c>
      <c r="AJ64" s="27">
        <f>AI64*(1+'Model Inputs'!$B$9)</f>
        <v>1.9222314039431532</v>
      </c>
      <c r="AK64" s="27">
        <f>AJ64*(1+'Model Inputs'!$B$9)</f>
        <v>1.9606760320220162</v>
      </c>
      <c r="AL64" s="27">
        <f>AK64*(1+'Model Inputs'!$B$9)</f>
        <v>1.9998895526624565</v>
      </c>
      <c r="AM64" s="27">
        <f>AL64*(1+'Model Inputs'!$B$9)</f>
        <v>2.0398873437157055</v>
      </c>
      <c r="AN64" s="27">
        <f>AM64*(1+'Model Inputs'!$B$9)</f>
        <v>2.0806850905900198</v>
      </c>
      <c r="AO64" s="27">
        <f>AN64*(1+'Model Inputs'!$B$9)</f>
        <v>2.1222987924018204</v>
      </c>
      <c r="AP64" s="27">
        <f>AO64*(1+'Model Inputs'!$B$9)</f>
        <v>2.1647447682498568</v>
      </c>
      <c r="AQ64" s="38">
        <f>AP64*(1+'Model Inputs'!$B$9)</f>
        <v>2.208039663614854</v>
      </c>
      <c r="AR64" s="38">
        <f>AQ64*(1+'Model Inputs'!$B$9)</f>
        <v>2.252200456887151</v>
      </c>
      <c r="AS64" s="38">
        <f>AR64*(1+'Model Inputs'!$B$9)</f>
        <v>2.2972444660248938</v>
      </c>
      <c r="AT64" s="38">
        <f>AS64*(1+'Model Inputs'!$B$9)</f>
        <v>2.343189355345392</v>
      </c>
      <c r="AU64" s="38">
        <f>AT64*(1+'Model Inputs'!$B$9)</f>
        <v>2.3900531424522997</v>
      </c>
      <c r="AV64" s="38">
        <f>AU64*(1+'Model Inputs'!$B$9)</f>
        <v>2.4378542053013459</v>
      </c>
      <c r="AW64" s="38">
        <f>AV64*(1+'Model Inputs'!$B$9)</f>
        <v>2.4866112894073726</v>
      </c>
      <c r="AX64" s="38">
        <f>AW64*(1+'Model Inputs'!$B$9)</f>
        <v>2.53634351519552</v>
      </c>
      <c r="AY64" s="38">
        <f>AX64*(1+'Model Inputs'!$B$9)</f>
        <v>2.5870703854994304</v>
      </c>
      <c r="AZ64" s="38">
        <f>AY64*(1+'Model Inputs'!$B$9)</f>
        <v>2.6388117932094191</v>
      </c>
      <c r="BA64" s="38">
        <f>AZ64*(1+'Model Inputs'!$B$9)</f>
        <v>2.6915880290736074</v>
      </c>
      <c r="BB64" s="38">
        <f>BA64*(1+'Model Inputs'!$B$9)</f>
        <v>2.7454197896550796</v>
      </c>
      <c r="BC64" s="38">
        <f>BB64*(1+'Model Inputs'!$B$9)</f>
        <v>2.8003281854481812</v>
      </c>
      <c r="BD64" s="38">
        <f>BC64*(1+'Model Inputs'!$B$9)</f>
        <v>2.8563347491571447</v>
      </c>
      <c r="BE64" s="38">
        <f>BD64*(1+'Model Inputs'!$B$9)</f>
        <v>2.9134614441402875</v>
      </c>
      <c r="BF64" s="38">
        <f>BE64*(1+'Model Inputs'!$B$9)</f>
        <v>2.9717306730230932</v>
      </c>
      <c r="BG64" s="38">
        <f>BF64*(1+'Model Inputs'!$B$9)</f>
        <v>3.0311652864835552</v>
      </c>
      <c r="BH64" s="38">
        <f>BG64*(1+'Model Inputs'!$B$9)</f>
        <v>3.0917885922132262</v>
      </c>
      <c r="BI64" s="38">
        <f>BH64*(1+'Model Inputs'!$B$9)</f>
        <v>3.1536243640574906</v>
      </c>
      <c r="BJ64" s="38">
        <f>BI64*(1+'Model Inputs'!$B$9)</f>
        <v>3.2166968513386403</v>
      </c>
      <c r="BK64" s="38">
        <f>BJ64*(1+'Model Inputs'!$B$9)</f>
        <v>3.2810307883654133</v>
      </c>
      <c r="BL64" s="38">
        <f>BK64*(1+'Model Inputs'!$B$9)</f>
        <v>3.3466514041327216</v>
      </c>
      <c r="BM64" s="38">
        <f>BL64*(1+'Model Inputs'!$B$9)</f>
        <v>3.4135844322153761</v>
      </c>
      <c r="BN64" s="38">
        <f>BM64*(1+'Model Inputs'!$B$9)</f>
        <v>3.4818561208596837</v>
      </c>
      <c r="BO64" s="38">
        <f>BN64*(1+'Model Inputs'!$B$9)</f>
        <v>3.5514932432768775</v>
      </c>
    </row>
    <row r="65" spans="1:67" ht="15" customHeight="1" x14ac:dyDescent="0.2">
      <c r="A65" s="14" t="s">
        <v>222</v>
      </c>
      <c r="B65" s="65">
        <f>SUM(C65:BO65)</f>
        <v>371220.1564682927</v>
      </c>
      <c r="C65" s="27">
        <f>SUMPRODUCT(C27:C34,'Model Inputs'!$E$73:$E$80)*C64</f>
        <v>7183.349894978659</v>
      </c>
      <c r="D65" s="27">
        <f>SUMPRODUCT(D27:D34,'Model Inputs'!$E$73:$E$80)*D64</f>
        <v>7327.0168928782323</v>
      </c>
      <c r="E65" s="27">
        <f>SUMPRODUCT(E27:E34,'Model Inputs'!$E$73:$E$80)*E64</f>
        <v>7473.557230735797</v>
      </c>
      <c r="F65" s="27">
        <f>SUMPRODUCT(F27:F34,'Model Inputs'!$E$73:$E$80)*F64</f>
        <v>7623.0283753505119</v>
      </c>
      <c r="G65" s="27">
        <f>SUMPRODUCT(G27:G34,'Model Inputs'!$E$73:$E$80)*G64</f>
        <v>7775.4889428575225</v>
      </c>
      <c r="H65" s="27">
        <f>SUMPRODUCT(H27:H34,'Model Inputs'!$E$73:$E$80)*H64</f>
        <v>7930.9987217146736</v>
      </c>
      <c r="I65" s="27">
        <f>SUMPRODUCT(I27:I34,'Model Inputs'!$E$73:$E$80)*I64</f>
        <v>8089.6186961489675</v>
      </c>
      <c r="J65" s="27">
        <f>SUMPRODUCT(J27:J34,'Model Inputs'!$E$73:$E$80)*J64</f>
        <v>8251.4110700719466</v>
      </c>
      <c r="K65" s="27">
        <f>SUMPRODUCT(K27:K34,'Model Inputs'!$E$73:$E$80)*K64</f>
        <v>8416.4392914733871</v>
      </c>
      <c r="L65" s="27">
        <f>SUMPRODUCT(L27:L34,'Model Inputs'!$E$73:$E$80)*L64</f>
        <v>8584.7680773028533</v>
      </c>
      <c r="M65" s="27">
        <f>SUMPRODUCT(M27:M34,'Model Inputs'!$E$73:$E$80)*M64</f>
        <v>8756.4634388489121</v>
      </c>
      <c r="N65" s="27">
        <f>SUMPRODUCT(N27:N34,'Model Inputs'!$E$73:$E$80)*N64</f>
        <v>8931.5927076258904</v>
      </c>
      <c r="O65" s="27">
        <f>SUMPRODUCT(O27:O34,'Model Inputs'!$E$73:$E$80)*O64</f>
        <v>9110.2245617784065</v>
      </c>
      <c r="P65" s="27">
        <f>SUMPRODUCT(P27:P34,'Model Inputs'!$E$73:$E$80)*P64</f>
        <v>9292.4290530139751</v>
      </c>
      <c r="Q65" s="27">
        <f>SUMPRODUCT(Q27:Q34,'Model Inputs'!$E$73:$E$80)*Q64</f>
        <v>9478.2776340742548</v>
      </c>
      <c r="R65" s="27">
        <f>SUMPRODUCT(R27:R34,'Model Inputs'!$E$73:$E$80)*R64</f>
        <v>9667.843186755741</v>
      </c>
      <c r="S65" s="27">
        <f>SUMPRODUCT(S27:S34,'Model Inputs'!$E$73:$E$80)*S64</f>
        <v>9861.2000504908556</v>
      </c>
      <c r="T65" s="27">
        <f>SUMPRODUCT(T27:T34,'Model Inputs'!$E$73:$E$80)*T64</f>
        <v>10058.424051500673</v>
      </c>
      <c r="U65" s="27">
        <f>SUMPRODUCT(U27:U34,'Model Inputs'!$E$73:$E$80)*U64</f>
        <v>10259.592532530687</v>
      </c>
      <c r="V65" s="27">
        <f>SUMPRODUCT(V27:V34,'Model Inputs'!$E$73:$E$80)*V64</f>
        <v>10464.784383181301</v>
      </c>
      <c r="W65" s="27">
        <f>SUMPRODUCT(W27:W34,'Model Inputs'!$E$73:$E$80)*W64</f>
        <v>10674.080070844928</v>
      </c>
      <c r="X65" s="27">
        <f>SUMPRODUCT(X27:X34,'Model Inputs'!$E$73:$E$80)*X64</f>
        <v>10128.266424318266</v>
      </c>
      <c r="Y65" s="27">
        <f>SUMPRODUCT(Y27:Y34,'Model Inputs'!$E$73:$E$80)*Y64</f>
        <v>8344.9075517113961</v>
      </c>
      <c r="Z65" s="27">
        <f>SUMPRODUCT(Z27:Z34,'Model Inputs'!$E$73:$E$80)*Z64</f>
        <v>8511.8057027456234</v>
      </c>
      <c r="AA65" s="27">
        <f>SUMPRODUCT(AA27:AA34,'Model Inputs'!$E$73:$E$80)*AA64</f>
        <v>8682.0418168005363</v>
      </c>
      <c r="AB65" s="27">
        <f>SUMPRODUCT(AB27:AB34,'Model Inputs'!$E$73:$E$80)*AB64</f>
        <v>8855.6826531365459</v>
      </c>
      <c r="AC65" s="27">
        <f>SUMPRODUCT(AC27:AC34,'Model Inputs'!$E$73:$E$80)*AC64</f>
        <v>9032.7963061992778</v>
      </c>
      <c r="AD65" s="27">
        <f>SUMPRODUCT(AD27:AD34,'Model Inputs'!$E$73:$E$80)*AD64</f>
        <v>9213.4522323232632</v>
      </c>
      <c r="AE65" s="27">
        <f>SUMPRODUCT(AE27:AE34,'Model Inputs'!$E$73:$E$80)*AE64</f>
        <v>9397.7212769697289</v>
      </c>
      <c r="AF65" s="27">
        <f>SUMPRODUCT(AF27:AF34,'Model Inputs'!$E$73:$E$80)*AF64</f>
        <v>9585.6757025091229</v>
      </c>
      <c r="AG65" s="27">
        <f>SUMPRODUCT(AG27:AG34,'Model Inputs'!$E$73:$E$80)*AG64</f>
        <v>9777.3892165593061</v>
      </c>
      <c r="AH65" s="27">
        <f>SUMPRODUCT(AH27:AH34,'Model Inputs'!$E$73:$E$80)*AH64</f>
        <v>9972.9370008904934</v>
      </c>
      <c r="AI65" s="27">
        <f>SUMPRODUCT(AI27:AI34,'Model Inputs'!$E$73:$E$80)*AI64</f>
        <v>10172.395740908303</v>
      </c>
      <c r="AJ65" s="27">
        <f>SUMPRODUCT(AJ27:AJ34,'Model Inputs'!$E$73:$E$80)*AJ64</f>
        <v>10375.84365572647</v>
      </c>
      <c r="AK65" s="27">
        <f>SUMPRODUCT(AK27:AK34,'Model Inputs'!$E$73:$E$80)*AK64</f>
        <v>10583.360528841</v>
      </c>
      <c r="AL65" s="27">
        <f>SUMPRODUCT(AL27:AL34,'Model Inputs'!$E$73:$E$80)*AL64</f>
        <v>10795.027739417819</v>
      </c>
      <c r="AM65" s="27">
        <f>SUMPRODUCT(AM27:AM34,'Model Inputs'!$E$73:$E$80)*AM64</f>
        <v>11010.928294206175</v>
      </c>
      <c r="AN65" s="27">
        <f>SUMPRODUCT(AN27:AN34,'Model Inputs'!$E$73:$E$80)*AN64</f>
        <v>9566.1515357698208</v>
      </c>
      <c r="AO65" s="27">
        <f>SUMPRODUCT(AO27:AO34,'Model Inputs'!$E$73:$E$80)*AO64</f>
        <v>9348.5552461192547</v>
      </c>
      <c r="AP65" s="27">
        <f>SUMPRODUCT(AP27:AP34,'Model Inputs'!$E$73:$E$80)*AP64</f>
        <v>9535.5263510416407</v>
      </c>
      <c r="AQ65" s="27">
        <f>(AQ27*'Model Inputs'!$E$73+AQ28*'Model Inputs'!$E$74+AQ29*'Model Inputs'!$E$75+AQ30*'Model Inputs'!$E$76+AQ31*'Model Inputs'!$E$77+AQ32*'Model Inputs'!$E$78+AQ33*'Model Inputs'!$E$79+AQ34*'Model Inputs'!$E$80)*AQ64</f>
        <v>3119.102627940516</v>
      </c>
      <c r="AR65" s="27">
        <f>(AR27*'Model Inputs'!$E$73+AR28*'Model Inputs'!$E$74+AR29*'Model Inputs'!$E$75+AR30*'Model Inputs'!$E$76+AR31*'Model Inputs'!$E$77+AR32*'Model Inputs'!$E$78+AR33*'Model Inputs'!$E$79+AR34*'Model Inputs'!$E$80)*AR64</f>
        <v>0</v>
      </c>
      <c r="AS65" s="27">
        <f>(AS27*'Model Inputs'!$E$73+AS28*'Model Inputs'!$E$74+AS29*'Model Inputs'!$E$75+AS30*'Model Inputs'!$E$76+AS31*'Model Inputs'!$E$77+AS32*'Model Inputs'!$E$78+AS33*'Model Inputs'!$E$79+AS34*'Model Inputs'!$E$80)*AS64</f>
        <v>0</v>
      </c>
      <c r="AT65" s="27">
        <f>(AT27*'Model Inputs'!$E$73+AT28*'Model Inputs'!$E$74+AT29*'Model Inputs'!$E$75+AT30*'Model Inputs'!$E$76+AT31*'Model Inputs'!$E$77+AT32*'Model Inputs'!$E$78+AT33*'Model Inputs'!$E$79+AT34*'Model Inputs'!$E$80)*AT64</f>
        <v>0</v>
      </c>
      <c r="AU65" s="27">
        <f>(AU27*'Model Inputs'!$E$73+AU28*'Model Inputs'!$E$74+AU29*'Model Inputs'!$E$75+AU30*'Model Inputs'!$E$76+AU31*'Model Inputs'!$E$77+AU32*'Model Inputs'!$E$78+AU33*'Model Inputs'!$E$79+AU34*'Model Inputs'!$E$80)*AU64</f>
        <v>0</v>
      </c>
      <c r="AV65" s="27">
        <f>(AV27*'Model Inputs'!$E$73+AV28*'Model Inputs'!$E$74+AV29*'Model Inputs'!$E$75+AV30*'Model Inputs'!$E$76+AV31*'Model Inputs'!$E$77+AV32*'Model Inputs'!$E$78+AV33*'Model Inputs'!$E$79+AV34*'Model Inputs'!$E$80)*AV64</f>
        <v>0</v>
      </c>
      <c r="AW65" s="27">
        <f>(AW27*'Model Inputs'!$E$73+AW28*'Model Inputs'!$E$74+AW29*'Model Inputs'!$E$75+AW30*'Model Inputs'!$E$76+AW31*'Model Inputs'!$E$77+AW32*'Model Inputs'!$E$78+AW33*'Model Inputs'!$E$79+AW34*'Model Inputs'!$E$80)*AW64</f>
        <v>0</v>
      </c>
      <c r="AX65" s="27">
        <f>(AX27*'Model Inputs'!$E$73+AX28*'Model Inputs'!$E$74+AX29*'Model Inputs'!$E$75+AX30*'Model Inputs'!$E$76+AX31*'Model Inputs'!$E$77+AX32*'Model Inputs'!$E$78+AX33*'Model Inputs'!$E$79+AX34*'Model Inputs'!$E$80)*AX64</f>
        <v>0</v>
      </c>
      <c r="AY65" s="27">
        <f>(AY27*'Model Inputs'!$E$73+AY28*'Model Inputs'!$E$74+AY29*'Model Inputs'!$E$75+AY30*'Model Inputs'!$E$76+AY31*'Model Inputs'!$E$77+AY32*'Model Inputs'!$E$78+AY33*'Model Inputs'!$E$79+AY34*'Model Inputs'!$E$80)*AY64</f>
        <v>0</v>
      </c>
      <c r="AZ65" s="27">
        <f>(AZ27*'Model Inputs'!$E$73+AZ28*'Model Inputs'!$E$74+AZ29*'Model Inputs'!$E$75+AZ30*'Model Inputs'!$E$76+AZ31*'Model Inputs'!$E$77+AZ32*'Model Inputs'!$E$78+AZ33*'Model Inputs'!$E$79+AZ34*'Model Inputs'!$E$80)*AZ64</f>
        <v>0</v>
      </c>
      <c r="BA65" s="27">
        <f>(BA27*'Model Inputs'!$E$73+BA28*'Model Inputs'!$E$74+BA29*'Model Inputs'!$E$75+BA30*'Model Inputs'!$E$76+BA31*'Model Inputs'!$E$77+BA32*'Model Inputs'!$E$78+BA33*'Model Inputs'!$E$79+BA34*'Model Inputs'!$E$80)*BA64</f>
        <v>0</v>
      </c>
      <c r="BB65" s="27">
        <f>(BB27*'Model Inputs'!$E$73+BB28*'Model Inputs'!$E$74+BB29*'Model Inputs'!$E$75+BB30*'Model Inputs'!$E$76+BB31*'Model Inputs'!$E$77+BB32*'Model Inputs'!$E$78+BB33*'Model Inputs'!$E$79+BB34*'Model Inputs'!$E$80)*BB64</f>
        <v>0</v>
      </c>
      <c r="BC65" s="27">
        <f>(BC27*'Model Inputs'!$E$73+BC28*'Model Inputs'!$E$74+BC29*'Model Inputs'!$E$75+BC30*'Model Inputs'!$E$76+BC31*'Model Inputs'!$E$77+BC32*'Model Inputs'!$E$78+BC33*'Model Inputs'!$E$79+BC34*'Model Inputs'!$E$80)*BC64</f>
        <v>0</v>
      </c>
      <c r="BD65" s="27">
        <f>(BD27*'Model Inputs'!$E$73+BD28*'Model Inputs'!$E$74+BD29*'Model Inputs'!$E$75+BD30*'Model Inputs'!$E$76+BD31*'Model Inputs'!$E$77+BD32*'Model Inputs'!$E$78+BD33*'Model Inputs'!$E$79+BD34*'Model Inputs'!$E$80)*BD64</f>
        <v>0</v>
      </c>
      <c r="BE65" s="27">
        <f>(BE27*'Model Inputs'!$E$73+BE28*'Model Inputs'!$E$74+BE29*'Model Inputs'!$E$75+BE30*'Model Inputs'!$E$76+BE31*'Model Inputs'!$E$77+BE32*'Model Inputs'!$E$78+BE33*'Model Inputs'!$E$79+BE34*'Model Inputs'!$E$80)*BE64</f>
        <v>0</v>
      </c>
      <c r="BF65" s="27">
        <f>(BF27*'Model Inputs'!$E$73+BF28*'Model Inputs'!$E$74+BF29*'Model Inputs'!$E$75+BF30*'Model Inputs'!$E$76+BF31*'Model Inputs'!$E$77+BF32*'Model Inputs'!$E$78+BF33*'Model Inputs'!$E$79+BF34*'Model Inputs'!$E$80)*BF64</f>
        <v>0</v>
      </c>
      <c r="BG65" s="27">
        <f>(BG27*'Model Inputs'!$E$73+BG28*'Model Inputs'!$E$74+BG29*'Model Inputs'!$E$75+BG30*'Model Inputs'!$E$76+BG31*'Model Inputs'!$E$77+BG32*'Model Inputs'!$E$78+BG33*'Model Inputs'!$E$79+BG34*'Model Inputs'!$E$80)*BG64</f>
        <v>0</v>
      </c>
      <c r="BH65" s="27">
        <f>(BH27*'Model Inputs'!$E$73+BH28*'Model Inputs'!$E$74+BH29*'Model Inputs'!$E$75+BH30*'Model Inputs'!$E$76+BH31*'Model Inputs'!$E$77+BH32*'Model Inputs'!$E$78+BH33*'Model Inputs'!$E$79+BH34*'Model Inputs'!$E$80)*BH64</f>
        <v>0</v>
      </c>
      <c r="BI65" s="27">
        <f>(BI27*'Model Inputs'!$E$73+BI28*'Model Inputs'!$E$74+BI29*'Model Inputs'!$E$75+BI30*'Model Inputs'!$E$76+BI31*'Model Inputs'!$E$77+BI32*'Model Inputs'!$E$78+BI33*'Model Inputs'!$E$79+BI34*'Model Inputs'!$E$80)*BI64</f>
        <v>0</v>
      </c>
      <c r="BJ65" s="27">
        <f>(BJ27*'Model Inputs'!$E$73+BJ28*'Model Inputs'!$E$74+BJ29*'Model Inputs'!$E$75+BJ30*'Model Inputs'!$E$76+BJ31*'Model Inputs'!$E$77+BJ32*'Model Inputs'!$E$78+BJ33*'Model Inputs'!$E$79+BJ34*'Model Inputs'!$E$80)*BJ64</f>
        <v>0</v>
      </c>
      <c r="BK65" s="27">
        <f>(BK27*'Model Inputs'!$E$73+BK28*'Model Inputs'!$E$74+BK29*'Model Inputs'!$E$75+BK30*'Model Inputs'!$E$76+BK31*'Model Inputs'!$E$77+BK32*'Model Inputs'!$E$78+BK33*'Model Inputs'!$E$79+BK34*'Model Inputs'!$E$80)*BK64</f>
        <v>0</v>
      </c>
      <c r="BL65" s="27">
        <f>(BL27*'Model Inputs'!$E$73+BL28*'Model Inputs'!$E$74+BL29*'Model Inputs'!$E$75+BL30*'Model Inputs'!$E$76+BL31*'Model Inputs'!$E$77+BL32*'Model Inputs'!$E$78+BL33*'Model Inputs'!$E$79+BL34*'Model Inputs'!$E$80)*BL64</f>
        <v>0</v>
      </c>
      <c r="BM65" s="27">
        <f>(BM27*'Model Inputs'!$E$73+BM28*'Model Inputs'!$E$74+BM29*'Model Inputs'!$E$75+BM30*'Model Inputs'!$E$76+BM31*'Model Inputs'!$E$77+BM32*'Model Inputs'!$E$78+BM33*'Model Inputs'!$E$79+BM34*'Model Inputs'!$E$80)*BM64</f>
        <v>0</v>
      </c>
      <c r="BN65" s="27">
        <f>(BN27*'Model Inputs'!$E$73+BN28*'Model Inputs'!$E$74+BN29*'Model Inputs'!$E$75+BN30*'Model Inputs'!$E$76+BN31*'Model Inputs'!$E$77+BN32*'Model Inputs'!$E$78+BN33*'Model Inputs'!$E$79+BN34*'Model Inputs'!$E$80)*BN64</f>
        <v>0</v>
      </c>
      <c r="BO65" s="27">
        <f>(BO27*'Model Inputs'!$E$73+BO28*'Model Inputs'!$E$74+BO29*'Model Inputs'!$E$75+BO30*'Model Inputs'!$E$76+BO31*'Model Inputs'!$E$77+BO32*'Model Inputs'!$E$78+BO33*'Model Inputs'!$E$79+BO34*'Model Inputs'!$E$80)*BO64</f>
        <v>0</v>
      </c>
    </row>
    <row r="66" spans="1:67" ht="15" customHeight="1" x14ac:dyDescent="0.2">
      <c r="A66" s="14" t="s">
        <v>223</v>
      </c>
      <c r="B66" s="71">
        <f>IF('Model Inputs'!B13=1,IF('Sensitivities 1P'!$B$13=1,'Sensitivities 1P'!$B$15,'Model Inputs'!B92/B65),1)</f>
        <v>1</v>
      </c>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2"/>
      <c r="AG66" s="72"/>
      <c r="AH66" s="72"/>
      <c r="AI66" s="72"/>
      <c r="AJ66" s="72"/>
      <c r="AK66" s="72"/>
      <c r="AL66" s="72"/>
      <c r="AM66" s="72"/>
      <c r="AN66" s="72"/>
      <c r="AO66" s="72"/>
      <c r="AP66" s="72"/>
    </row>
    <row r="67" spans="1:67" ht="15" customHeight="1" x14ac:dyDescent="0.2">
      <c r="A67" s="14" t="s">
        <v>209</v>
      </c>
      <c r="B67" s="66">
        <f t="shared" ref="B67:B75" si="33">SUM(C67:BO67)</f>
        <v>7969.099934478405</v>
      </c>
      <c r="C67" s="70">
        <f>C27*C64*'Model Inputs'!$B$288*'Sensitivities 1P'!$B$10</f>
        <v>296.53859343328457</v>
      </c>
      <c r="D67" s="27">
        <f>D27*D64*'Model Inputs'!$B$288*'Sensitivities 1P'!$B$10</f>
        <v>302.46936530195029</v>
      </c>
      <c r="E67" s="27">
        <f>E27*E64*'Model Inputs'!$B$288*'Sensitivities 1P'!$B$10</f>
        <v>308.51875260798926</v>
      </c>
      <c r="F67" s="27">
        <f>F27*F64*'Model Inputs'!$B$288*'Sensitivities 1P'!$B$10</f>
        <v>314.68912766014904</v>
      </c>
      <c r="G67" s="27">
        <f>G27*G64*'Model Inputs'!$B$288*'Sensitivities 1P'!$B$10</f>
        <v>320.982910213352</v>
      </c>
      <c r="H67" s="27">
        <f>H27*H64*'Model Inputs'!$B$288*'Sensitivities 1P'!$B$10</f>
        <v>327.40256841761908</v>
      </c>
      <c r="I67" s="27">
        <f>I27*I64*'Model Inputs'!$B$288*'Sensitivities 1P'!$B$10</f>
        <v>333.95061978597147</v>
      </c>
      <c r="J67" s="27">
        <f>J27*J64*'Model Inputs'!$B$288*'Sensitivities 1P'!$B$10</f>
        <v>340.62963218169085</v>
      </c>
      <c r="K67" s="27">
        <f>K27*K64*'Model Inputs'!$B$288*'Sensitivities 1P'!$B$10</f>
        <v>347.44222482532473</v>
      </c>
      <c r="L67" s="27">
        <f>L27*L64*'Model Inputs'!$B$288*'Sensitivities 1P'!$B$10</f>
        <v>354.39106932183125</v>
      </c>
      <c r="M67" s="27">
        <f>M27*M64*'Model Inputs'!$B$288*'Sensitivities 1P'!$B$10</f>
        <v>361.47889070826784</v>
      </c>
      <c r="N67" s="27">
        <f>N27*N64*'Model Inputs'!$B$288*'Sensitivities 1P'!$B$10</f>
        <v>368.70846852243324</v>
      </c>
      <c r="O67" s="27">
        <f>O27*O64*'Model Inputs'!$B$288*'Sensitivities 1P'!$B$10</f>
        <v>376.08263789288191</v>
      </c>
      <c r="P67" s="27">
        <f>P27*P64*'Model Inputs'!$B$288*'Sensitivities 1P'!$B$10</f>
        <v>383.60429065073947</v>
      </c>
      <c r="Q67" s="27">
        <f>Q27*Q64*'Model Inputs'!$B$288*'Sensitivities 1P'!$B$10</f>
        <v>391.27637646375433</v>
      </c>
      <c r="R67" s="27">
        <f>R27*R64*'Model Inputs'!$B$288*'Sensitivities 1P'!$B$10</f>
        <v>399.10190399302945</v>
      </c>
      <c r="S67" s="27">
        <f>S27*S64*'Model Inputs'!$B$288*'Sensitivities 1P'!$B$10</f>
        <v>407.08394207289001</v>
      </c>
      <c r="T67" s="27">
        <f>T27*T64*'Model Inputs'!$B$288*'Sensitivities 1P'!$B$10</f>
        <v>415.22562091434781</v>
      </c>
      <c r="U67" s="27">
        <f>U27*U64*'Model Inputs'!$B$288*'Sensitivities 1P'!$B$10</f>
        <v>423.53013333263482</v>
      </c>
      <c r="V67" s="27">
        <f>V27*V64*'Model Inputs'!$B$288*'Sensitivities 1P'!$B$10</f>
        <v>432.00073599928749</v>
      </c>
      <c r="W67" s="27">
        <f>W27*W64*'Model Inputs'!$B$288*'Sensitivities 1P'!$B$10</f>
        <v>440.64075071927334</v>
      </c>
      <c r="X67" s="27">
        <f>X27*X64*'Model Inputs'!$B$288*'Sensitivities 1P'!$B$10</f>
        <v>323.35131945970153</v>
      </c>
      <c r="Y67" s="27">
        <f>Y27*Y64*'Model Inputs'!$B$288*'Sensitivities 1P'!$B$10</f>
        <v>0</v>
      </c>
      <c r="Z67" s="27">
        <f>Z27*Z64*'Model Inputs'!$B$288*'Sensitivities 1P'!$B$10</f>
        <v>0</v>
      </c>
      <c r="AA67" s="27">
        <f>AA27*AA64*'Model Inputs'!$B$288*'Sensitivities 1P'!$B$10</f>
        <v>0</v>
      </c>
      <c r="AB67" s="27">
        <f>AB27*AB64*'Model Inputs'!$B$288*'Sensitivities 1P'!$B$10</f>
        <v>0</v>
      </c>
      <c r="AC67" s="27">
        <f>AC27*AC64*'Model Inputs'!$B$288*'Sensitivities 1P'!$B$10</f>
        <v>0</v>
      </c>
      <c r="AD67" s="27">
        <f>AD27*AD64*'Model Inputs'!$B$288*'Sensitivities 1P'!$B$10</f>
        <v>0</v>
      </c>
      <c r="AE67" s="27">
        <f>AE27*AE64*'Model Inputs'!$B$288*'Sensitivities 1P'!$B$10</f>
        <v>0</v>
      </c>
      <c r="AF67" s="27">
        <f>AF27*AF64*'Model Inputs'!$B$288*'Sensitivities 1P'!$B$10</f>
        <v>0</v>
      </c>
      <c r="AG67" s="27">
        <f>AG27*AG64*'Model Inputs'!$B$288*'Sensitivities 1P'!$B$10</f>
        <v>0</v>
      </c>
      <c r="AH67" s="27">
        <f>AH27*AH64*'Model Inputs'!$B$288*'Sensitivities 1P'!$B$10</f>
        <v>0</v>
      </c>
      <c r="AI67" s="27">
        <f>AI27*AI64*'Model Inputs'!$B$288*'Sensitivities 1P'!$B$10</f>
        <v>0</v>
      </c>
      <c r="AJ67" s="27">
        <f>AJ27*AJ64*'Model Inputs'!$B$288*'Sensitivities 1P'!$B$10</f>
        <v>0</v>
      </c>
      <c r="AK67" s="27">
        <f>AK27*AK64*'Model Inputs'!$B$288*'Sensitivities 1P'!$B$10</f>
        <v>0</v>
      </c>
      <c r="AL67" s="27">
        <f>AL27*AL64*'Model Inputs'!$B$288*'Sensitivities 1P'!$B$10</f>
        <v>0</v>
      </c>
      <c r="AM67" s="27">
        <f>AM27*AM64*'Model Inputs'!$B$288*'Sensitivities 1P'!$B$10</f>
        <v>0</v>
      </c>
      <c r="AN67" s="27">
        <f>AN27*AN64*'Model Inputs'!$B$288*'Sensitivities 1P'!$B$10</f>
        <v>0</v>
      </c>
      <c r="AO67" s="27">
        <f>AO27*AO64*'Model Inputs'!$B$288*'Sensitivities 1P'!$B$10</f>
        <v>0</v>
      </c>
      <c r="AP67" s="27">
        <f>AP27*AP64*'Model Inputs'!$B$288*'Sensitivities 1P'!$B$10</f>
        <v>0</v>
      </c>
      <c r="AQ67" s="27">
        <f>AQ27*AQ64*'Model Inputs'!$B$288*'Sensitivities 1P'!$B$10</f>
        <v>0</v>
      </c>
      <c r="AR67" s="27">
        <f>AR27*AR64*'Model Inputs'!$B$288*'Sensitivities 1P'!$B$10</f>
        <v>0</v>
      </c>
      <c r="AS67" s="27">
        <f>AS27*AS64*'Model Inputs'!$B$288*'Sensitivities 1P'!$B$10</f>
        <v>0</v>
      </c>
      <c r="AT67" s="27">
        <f>AT27*AT64*'Model Inputs'!$B$288*'Sensitivities 1P'!$B$10</f>
        <v>0</v>
      </c>
      <c r="AU67" s="27">
        <f>AU27*AU64*'Model Inputs'!$B$288*'Sensitivities 1P'!$B$10</f>
        <v>0</v>
      </c>
      <c r="AV67" s="27">
        <f>AV27*AV64*'Model Inputs'!$B$288*'Sensitivities 1P'!$B$10</f>
        <v>0</v>
      </c>
      <c r="AW67" s="27">
        <f>AW27*AW64*'Model Inputs'!$B$288*'Sensitivities 1P'!$B$10</f>
        <v>0</v>
      </c>
      <c r="AX67" s="27">
        <f>AX27*AX64*'Model Inputs'!$B$288*'Sensitivities 1P'!$B$10</f>
        <v>0</v>
      </c>
      <c r="AY67" s="27">
        <f>AY27*AY64*'Model Inputs'!$B$288*'Sensitivities 1P'!$B$10</f>
        <v>0</v>
      </c>
      <c r="AZ67" s="27">
        <f>AZ27*AZ64*'Model Inputs'!$B$288*'Sensitivities 1P'!$B$10</f>
        <v>0</v>
      </c>
      <c r="BA67" s="27">
        <f>BA27*BA64*'Model Inputs'!$B$288*'Sensitivities 1P'!$B$10</f>
        <v>0</v>
      </c>
      <c r="BB67" s="27">
        <f>BB27*BB64*'Model Inputs'!$B$288*'Sensitivities 1P'!$B$10</f>
        <v>0</v>
      </c>
      <c r="BC67" s="27">
        <f>BC27*BC64*'Model Inputs'!$B$288*'Sensitivities 1P'!$B$10</f>
        <v>0</v>
      </c>
      <c r="BD67" s="27">
        <f>BD27*BD64*'Model Inputs'!$B$288*'Sensitivities 1P'!$B$10</f>
        <v>0</v>
      </c>
      <c r="BE67" s="27">
        <f>BE27*BE64*'Model Inputs'!$B$288*'Sensitivities 1P'!$B$10</f>
        <v>0</v>
      </c>
      <c r="BF67" s="27">
        <f>BF27*BF64*'Model Inputs'!$B$288*'Sensitivities 1P'!$B$10</f>
        <v>0</v>
      </c>
      <c r="BG67" s="27">
        <f>BG27*BG64*'Model Inputs'!$B$288*'Sensitivities 1P'!$B$10</f>
        <v>0</v>
      </c>
      <c r="BH67" s="27">
        <f>BH27*BH64*'Model Inputs'!$B$288*'Sensitivities 1P'!$B$10</f>
        <v>0</v>
      </c>
      <c r="BI67" s="27">
        <f>BI27*BI64*'Model Inputs'!$B$288*'Sensitivities 1P'!$B$10</f>
        <v>0</v>
      </c>
      <c r="BJ67" s="27">
        <f>BJ27*BJ64*'Model Inputs'!$B$288*'Sensitivities 1P'!$B$10</f>
        <v>0</v>
      </c>
      <c r="BK67" s="27">
        <f>BK27*BK64*'Model Inputs'!$B$288*'Sensitivities 1P'!$B$10</f>
        <v>0</v>
      </c>
      <c r="BL67" s="27">
        <f>BL27*BL64*'Model Inputs'!$B$288*'Sensitivities 1P'!$B$10</f>
        <v>0</v>
      </c>
      <c r="BM67" s="27">
        <f>BM27*BM64*'Model Inputs'!$B$288*'Sensitivities 1P'!$B$10</f>
        <v>0</v>
      </c>
      <c r="BN67" s="27">
        <f>BN27*BN64*'Model Inputs'!$B$288*'Sensitivities 1P'!$B$10</f>
        <v>0</v>
      </c>
      <c r="BO67" s="27">
        <f>BO27*BO64*'Model Inputs'!$B$288*'Sensitivities 1P'!$B$10</f>
        <v>0</v>
      </c>
    </row>
    <row r="68" spans="1:67" ht="15" customHeight="1" x14ac:dyDescent="0.2">
      <c r="A68" s="14" t="s">
        <v>210</v>
      </c>
      <c r="B68" s="68">
        <f t="shared" si="33"/>
        <v>5880.1125730131907</v>
      </c>
      <c r="C68" s="27">
        <f>C28*C64*'Model Inputs'!$B$288*'Sensitivities 1P'!$B$10</f>
        <v>218.80517573718086</v>
      </c>
      <c r="D68" s="27">
        <f>D28*D64*'Model Inputs'!$B$288*'Sensitivities 1P'!$B$10</f>
        <v>223.18127925192445</v>
      </c>
      <c r="E68" s="27">
        <f>E28*E64*'Model Inputs'!$B$288*'Sensitivities 1P'!$B$10</f>
        <v>227.64490483696295</v>
      </c>
      <c r="F68" s="27">
        <f>F28*F64*'Model Inputs'!$B$288*'Sensitivities 1P'!$B$10</f>
        <v>232.19780293370221</v>
      </c>
      <c r="G68" s="27">
        <f>G28*G64*'Model Inputs'!$B$288*'Sensitivities 1P'!$B$10</f>
        <v>236.84175899237624</v>
      </c>
      <c r="H68" s="27">
        <f>H28*H64*'Model Inputs'!$B$288*'Sensitivities 1P'!$B$10</f>
        <v>241.57859417222377</v>
      </c>
      <c r="I68" s="27">
        <f>I28*I64*'Model Inputs'!$B$288*'Sensitivities 1P'!$B$10</f>
        <v>246.41016605566827</v>
      </c>
      <c r="J68" s="27">
        <f>J28*J64*'Model Inputs'!$B$288*'Sensitivities 1P'!$B$10</f>
        <v>251.33836937678163</v>
      </c>
      <c r="K68" s="27">
        <f>K28*K64*'Model Inputs'!$B$288*'Sensitivities 1P'!$B$10</f>
        <v>256.3651367643173</v>
      </c>
      <c r="L68" s="27">
        <f>L28*L64*'Model Inputs'!$B$288*'Sensitivities 1P'!$B$10</f>
        <v>261.49243949960362</v>
      </c>
      <c r="M68" s="27">
        <f>M28*M64*'Model Inputs'!$B$288*'Sensitivities 1P'!$B$10</f>
        <v>266.72228828959572</v>
      </c>
      <c r="N68" s="27">
        <f>N28*N64*'Model Inputs'!$B$288*'Sensitivities 1P'!$B$10</f>
        <v>272.05673405538761</v>
      </c>
      <c r="O68" s="27">
        <f>O28*O64*'Model Inputs'!$B$288*'Sensitivities 1P'!$B$10</f>
        <v>277.49786873649538</v>
      </c>
      <c r="P68" s="27">
        <f>P28*P64*'Model Inputs'!$B$288*'Sensitivities 1P'!$B$10</f>
        <v>283.04782611122528</v>
      </c>
      <c r="Q68" s="27">
        <f>Q28*Q64*'Model Inputs'!$B$288*'Sensitivities 1P'!$B$10</f>
        <v>288.7087826334498</v>
      </c>
      <c r="R68" s="27">
        <f>R28*R64*'Model Inputs'!$B$288*'Sensitivities 1P'!$B$10</f>
        <v>294.48295828611884</v>
      </c>
      <c r="S68" s="27">
        <f>S28*S64*'Model Inputs'!$B$288*'Sensitivities 1P'!$B$10</f>
        <v>300.37261745184117</v>
      </c>
      <c r="T68" s="27">
        <f>T28*T64*'Model Inputs'!$B$288*'Sensitivities 1P'!$B$10</f>
        <v>306.38006980087806</v>
      </c>
      <c r="U68" s="27">
        <f>U28*U64*'Model Inputs'!$B$288*'Sensitivities 1P'!$B$10</f>
        <v>312.50767119689561</v>
      </c>
      <c r="V68" s="27">
        <f>V28*V64*'Model Inputs'!$B$288*'Sensitivities 1P'!$B$10</f>
        <v>318.7578246208335</v>
      </c>
      <c r="W68" s="27">
        <f>W28*W64*'Model Inputs'!$B$288*'Sensitivities 1P'!$B$10</f>
        <v>325.1329811132502</v>
      </c>
      <c r="X68" s="27">
        <f>X28*X64*'Model Inputs'!$B$288*'Sensitivities 1P'!$B$10</f>
        <v>238.58932309647878</v>
      </c>
      <c r="Y68" s="27">
        <f>Y28*Y64*'Model Inputs'!$B$288*'Sensitivities 1P'!$B$10</f>
        <v>0</v>
      </c>
      <c r="Z68" s="27">
        <f>Z28*Z64*'Model Inputs'!$B$288*'Sensitivities 1P'!$B$10</f>
        <v>0</v>
      </c>
      <c r="AA68" s="27">
        <f>AA28*AA64*'Model Inputs'!$B$288*'Sensitivities 1P'!$B$10</f>
        <v>0</v>
      </c>
      <c r="AB68" s="27">
        <f>AB28*AB64*'Model Inputs'!$B$288*'Sensitivities 1P'!$B$10</f>
        <v>0</v>
      </c>
      <c r="AC68" s="27">
        <f>AC28*AC64*'Model Inputs'!$B$288*'Sensitivities 1P'!$B$10</f>
        <v>0</v>
      </c>
      <c r="AD68" s="27">
        <f>AD28*AD64*'Model Inputs'!$B$288*'Sensitivities 1P'!$B$10</f>
        <v>0</v>
      </c>
      <c r="AE68" s="27">
        <f>AE28*AE64*'Model Inputs'!$B$288*'Sensitivities 1P'!$B$10</f>
        <v>0</v>
      </c>
      <c r="AF68" s="27">
        <f>AF28*AF64*'Model Inputs'!$B$288*'Sensitivities 1P'!$B$10</f>
        <v>0</v>
      </c>
      <c r="AG68" s="27">
        <f>AG28*AG64*'Model Inputs'!$B$288*'Sensitivities 1P'!$B$10</f>
        <v>0</v>
      </c>
      <c r="AH68" s="27">
        <f>AH28*AH64*'Model Inputs'!$B$288*'Sensitivities 1P'!$B$10</f>
        <v>0</v>
      </c>
      <c r="AI68" s="27">
        <f>AI28*AI64*'Model Inputs'!$B$288*'Sensitivities 1P'!$B$10</f>
        <v>0</v>
      </c>
      <c r="AJ68" s="27">
        <f>AJ28*AJ64*'Model Inputs'!$B$288*'Sensitivities 1P'!$B$10</f>
        <v>0</v>
      </c>
      <c r="AK68" s="27">
        <f>AK28*AK64*'Model Inputs'!$B$288*'Sensitivities 1P'!$B$10</f>
        <v>0</v>
      </c>
      <c r="AL68" s="27">
        <f>AL28*AL64*'Model Inputs'!$B$288*'Sensitivities 1P'!$B$10</f>
        <v>0</v>
      </c>
      <c r="AM68" s="27">
        <f>AM28*AM64*'Model Inputs'!$B$288*'Sensitivities 1P'!$B$10</f>
        <v>0</v>
      </c>
      <c r="AN68" s="27">
        <f>AN28*AN64*'Model Inputs'!$B$288*'Sensitivities 1P'!$B$10</f>
        <v>0</v>
      </c>
      <c r="AO68" s="27">
        <f>AO28*AO64*'Model Inputs'!$B$288*'Sensitivities 1P'!$B$10</f>
        <v>0</v>
      </c>
      <c r="AP68" s="27">
        <f>AP28*AP64*'Model Inputs'!$B$288*'Sensitivities 1P'!$B$10</f>
        <v>0</v>
      </c>
      <c r="AQ68" s="27">
        <f>AQ28*AQ64*'Model Inputs'!$B$288*'Sensitivities 1P'!$B$10</f>
        <v>0</v>
      </c>
      <c r="AR68" s="27">
        <f>AR28*AR64*'Model Inputs'!$B$288*'Sensitivities 1P'!$B$10</f>
        <v>0</v>
      </c>
      <c r="AS68" s="27">
        <f>AS28*AS64*'Model Inputs'!$B$288*'Sensitivities 1P'!$B$10</f>
        <v>0</v>
      </c>
      <c r="AT68" s="27">
        <f>AT28*AT64*'Model Inputs'!$B$288*'Sensitivities 1P'!$B$10</f>
        <v>0</v>
      </c>
      <c r="AU68" s="27">
        <f>AU28*AU64*'Model Inputs'!$B$288*'Sensitivities 1P'!$B$10</f>
        <v>0</v>
      </c>
      <c r="AV68" s="27">
        <f>AV28*AV64*'Model Inputs'!$B$288*'Sensitivities 1P'!$B$10</f>
        <v>0</v>
      </c>
      <c r="AW68" s="27">
        <f>AW28*AW64*'Model Inputs'!$B$288*'Sensitivities 1P'!$B$10</f>
        <v>0</v>
      </c>
      <c r="AX68" s="27">
        <f>AX28*AX64*'Model Inputs'!$B$288*'Sensitivities 1P'!$B$10</f>
        <v>0</v>
      </c>
      <c r="AY68" s="27">
        <f>AY28*AY64*'Model Inputs'!$B$288*'Sensitivities 1P'!$B$10</f>
        <v>0</v>
      </c>
      <c r="AZ68" s="27">
        <f>AZ28*AZ64*'Model Inputs'!$B$288*'Sensitivities 1P'!$B$10</f>
        <v>0</v>
      </c>
      <c r="BA68" s="27">
        <f>BA28*BA64*'Model Inputs'!$B$288*'Sensitivities 1P'!$B$10</f>
        <v>0</v>
      </c>
      <c r="BB68" s="27">
        <f>BB28*BB64*'Model Inputs'!$B$288*'Sensitivities 1P'!$B$10</f>
        <v>0</v>
      </c>
      <c r="BC68" s="27">
        <f>BC28*BC64*'Model Inputs'!$B$288*'Sensitivities 1P'!$B$10</f>
        <v>0</v>
      </c>
      <c r="BD68" s="27">
        <f>BD28*BD64*'Model Inputs'!$B$288*'Sensitivities 1P'!$B$10</f>
        <v>0</v>
      </c>
      <c r="BE68" s="27">
        <f>BE28*BE64*'Model Inputs'!$B$288*'Sensitivities 1P'!$B$10</f>
        <v>0</v>
      </c>
      <c r="BF68" s="27">
        <f>BF28*BF64*'Model Inputs'!$B$288*'Sensitivities 1P'!$B$10</f>
        <v>0</v>
      </c>
      <c r="BG68" s="27">
        <f>BG28*BG64*'Model Inputs'!$B$288*'Sensitivities 1P'!$B$10</f>
        <v>0</v>
      </c>
      <c r="BH68" s="27">
        <f>BH28*BH64*'Model Inputs'!$B$288*'Sensitivities 1P'!$B$10</f>
        <v>0</v>
      </c>
      <c r="BI68" s="27">
        <f>BI28*BI64*'Model Inputs'!$B$288*'Sensitivities 1P'!$B$10</f>
        <v>0</v>
      </c>
      <c r="BJ68" s="27">
        <f>BJ28*BJ64*'Model Inputs'!$B$288*'Sensitivities 1P'!$B$10</f>
        <v>0</v>
      </c>
      <c r="BK68" s="27">
        <f>BK28*BK64*'Model Inputs'!$B$288*'Sensitivities 1P'!$B$10</f>
        <v>0</v>
      </c>
      <c r="BL68" s="27">
        <f>BL28*BL64*'Model Inputs'!$B$288*'Sensitivities 1P'!$B$10</f>
        <v>0</v>
      </c>
      <c r="BM68" s="27">
        <f>BM28*BM64*'Model Inputs'!$B$288*'Sensitivities 1P'!$B$10</f>
        <v>0</v>
      </c>
      <c r="BN68" s="27">
        <f>BN28*BN64*'Model Inputs'!$B$288*'Sensitivities 1P'!$B$10</f>
        <v>0</v>
      </c>
      <c r="BO68" s="27">
        <f>BO28*BO64*'Model Inputs'!$B$288*'Sensitivities 1P'!$B$10</f>
        <v>0</v>
      </c>
    </row>
    <row r="69" spans="1:67" ht="15" customHeight="1" x14ac:dyDescent="0.2">
      <c r="A69" s="14" t="s">
        <v>211</v>
      </c>
      <c r="B69" s="68">
        <f t="shared" si="33"/>
        <v>6266.9620843956391</v>
      </c>
      <c r="C69" s="27">
        <f>C29*C64*'Model Inputs'!$B$288*'Sensitivities 1P'!$B$10</f>
        <v>233.20025308831117</v>
      </c>
      <c r="D69" s="27">
        <f>D29*D64*'Model Inputs'!$B$288*'Sensitivities 1P'!$B$10</f>
        <v>237.8642581500774</v>
      </c>
      <c r="E69" s="27">
        <f>E29*E64*'Model Inputs'!$B$288*'Sensitivities 1P'!$B$10</f>
        <v>242.62154331307897</v>
      </c>
      <c r="F69" s="27">
        <f>F29*F64*'Model Inputs'!$B$288*'Sensitivities 1P'!$B$10</f>
        <v>247.47397417934053</v>
      </c>
      <c r="G69" s="27">
        <f>G29*G64*'Model Inputs'!$B$288*'Sensitivities 1P'!$B$10</f>
        <v>252.42345366292733</v>
      </c>
      <c r="H69" s="27">
        <f>H29*H64*'Model Inputs'!$B$288*'Sensitivities 1P'!$B$10</f>
        <v>257.47192273618589</v>
      </c>
      <c r="I69" s="27">
        <f>I29*I64*'Model Inputs'!$B$288*'Sensitivities 1P'!$B$10</f>
        <v>262.62136119090962</v>
      </c>
      <c r="J69" s="27">
        <f>J29*J64*'Model Inputs'!$B$288*'Sensitivities 1P'!$B$10</f>
        <v>267.87378841472781</v>
      </c>
      <c r="K69" s="27">
        <f>K29*K64*'Model Inputs'!$B$288*'Sensitivities 1P'!$B$10</f>
        <v>273.2312641830224</v>
      </c>
      <c r="L69" s="27">
        <f>L29*L64*'Model Inputs'!$B$288*'Sensitivities 1P'!$B$10</f>
        <v>278.69588946668284</v>
      </c>
      <c r="M69" s="27">
        <f>M29*M64*'Model Inputs'!$B$288*'Sensitivities 1P'!$B$10</f>
        <v>284.26980725601652</v>
      </c>
      <c r="N69" s="27">
        <f>N29*N64*'Model Inputs'!$B$288*'Sensitivities 1P'!$B$10</f>
        <v>289.95520340113683</v>
      </c>
      <c r="O69" s="27">
        <f>O29*O64*'Model Inputs'!$B$288*'Sensitivities 1P'!$B$10</f>
        <v>295.75430746915958</v>
      </c>
      <c r="P69" s="27">
        <f>P29*P64*'Model Inputs'!$B$288*'Sensitivities 1P'!$B$10</f>
        <v>301.66939361854276</v>
      </c>
      <c r="Q69" s="27">
        <f>Q29*Q64*'Model Inputs'!$B$288*'Sensitivities 1P'!$B$10</f>
        <v>307.70278149091359</v>
      </c>
      <c r="R69" s="27">
        <f>R29*R64*'Model Inputs'!$B$288*'Sensitivities 1P'!$B$10</f>
        <v>313.85683712073194</v>
      </c>
      <c r="S69" s="27">
        <f>S29*S64*'Model Inputs'!$B$288*'Sensitivities 1P'!$B$10</f>
        <v>320.13397386314654</v>
      </c>
      <c r="T69" s="27">
        <f>T29*T64*'Model Inputs'!$B$288*'Sensitivities 1P'!$B$10</f>
        <v>326.53665334040949</v>
      </c>
      <c r="U69" s="27">
        <f>U29*U64*'Model Inputs'!$B$288*'Sensitivities 1P'!$B$10</f>
        <v>333.06738640721773</v>
      </c>
      <c r="V69" s="27">
        <f>V29*V64*'Model Inputs'!$B$288*'Sensitivities 1P'!$B$10</f>
        <v>339.72873413536206</v>
      </c>
      <c r="W69" s="27">
        <f>W29*W64*'Model Inputs'!$B$288*'Sensitivities 1P'!$B$10</f>
        <v>346.52330881806938</v>
      </c>
      <c r="X69" s="27">
        <f>X29*X64*'Model Inputs'!$B$288*'Sensitivities 1P'!$B$10</f>
        <v>254.28598908966816</v>
      </c>
      <c r="Y69" s="27">
        <f>Y29*Y64*'Model Inputs'!$B$288*'Sensitivities 1P'!$B$10</f>
        <v>0</v>
      </c>
      <c r="Z69" s="27">
        <f>Z29*Z64*'Model Inputs'!$B$288*'Sensitivities 1P'!$B$10</f>
        <v>0</v>
      </c>
      <c r="AA69" s="27">
        <f>AA29*AA64*'Model Inputs'!$B$288*'Sensitivities 1P'!$B$10</f>
        <v>0</v>
      </c>
      <c r="AB69" s="27">
        <f>AB29*AB64*'Model Inputs'!$B$288*'Sensitivities 1P'!$B$10</f>
        <v>0</v>
      </c>
      <c r="AC69" s="27">
        <f>AC29*AC64*'Model Inputs'!$B$288*'Sensitivities 1P'!$B$10</f>
        <v>0</v>
      </c>
      <c r="AD69" s="27">
        <f>AD29*AD64*'Model Inputs'!$B$288*'Sensitivities 1P'!$B$10</f>
        <v>0</v>
      </c>
      <c r="AE69" s="27">
        <f>AE29*AE64*'Model Inputs'!$B$288*'Sensitivities 1P'!$B$10</f>
        <v>0</v>
      </c>
      <c r="AF69" s="27">
        <f>AF29*AF64*'Model Inputs'!$B$288*'Sensitivities 1P'!$B$10</f>
        <v>0</v>
      </c>
      <c r="AG69" s="27">
        <f>AG29*AG64*'Model Inputs'!$B$288*'Sensitivities 1P'!$B$10</f>
        <v>0</v>
      </c>
      <c r="AH69" s="27">
        <f>AH29*AH64*'Model Inputs'!$B$288*'Sensitivities 1P'!$B$10</f>
        <v>0</v>
      </c>
      <c r="AI69" s="27">
        <f>AI29*AI64*'Model Inputs'!$B$288*'Sensitivities 1P'!$B$10</f>
        <v>0</v>
      </c>
      <c r="AJ69" s="27">
        <f>AJ29*AJ64*'Model Inputs'!$B$288*'Sensitivities 1P'!$B$10</f>
        <v>0</v>
      </c>
      <c r="AK69" s="27">
        <f>AK29*AK64*'Model Inputs'!$B$288*'Sensitivities 1P'!$B$10</f>
        <v>0</v>
      </c>
      <c r="AL69" s="27">
        <f>AL29*AL64*'Model Inputs'!$B$288*'Sensitivities 1P'!$B$10</f>
        <v>0</v>
      </c>
      <c r="AM69" s="27">
        <f>AM29*AM64*'Model Inputs'!$B$288*'Sensitivities 1P'!$B$10</f>
        <v>0</v>
      </c>
      <c r="AN69" s="27">
        <f>AN29*AN64*'Model Inputs'!$B$288*'Sensitivities 1P'!$B$10</f>
        <v>0</v>
      </c>
      <c r="AO69" s="27">
        <f>AO29*AO64*'Model Inputs'!$B$288*'Sensitivities 1P'!$B$10</f>
        <v>0</v>
      </c>
      <c r="AP69" s="27">
        <f>AP29*AP64*'Model Inputs'!$B$288*'Sensitivities 1P'!$B$10</f>
        <v>0</v>
      </c>
      <c r="AQ69" s="27">
        <f>AQ29*AQ64*'Model Inputs'!$B$288*'Sensitivities 1P'!$B$10</f>
        <v>0</v>
      </c>
      <c r="AR69" s="27">
        <f>AR29*AR64*'Model Inputs'!$B$288*'Sensitivities 1P'!$B$10</f>
        <v>0</v>
      </c>
      <c r="AS69" s="27">
        <f>AS29*AS64*'Model Inputs'!$B$288*'Sensitivities 1P'!$B$10</f>
        <v>0</v>
      </c>
      <c r="AT69" s="27">
        <f>AT29*AT64*'Model Inputs'!$B$288*'Sensitivities 1P'!$B$10</f>
        <v>0</v>
      </c>
      <c r="AU69" s="27">
        <f>AU29*AU64*'Model Inputs'!$B$288*'Sensitivities 1P'!$B$10</f>
        <v>0</v>
      </c>
      <c r="AV69" s="27">
        <f>AV29*AV64*'Model Inputs'!$B$288*'Sensitivities 1P'!$B$10</f>
        <v>0</v>
      </c>
      <c r="AW69" s="27">
        <f>AW29*AW64*'Model Inputs'!$B$288*'Sensitivities 1P'!$B$10</f>
        <v>0</v>
      </c>
      <c r="AX69" s="27">
        <f>AX29*AX64*'Model Inputs'!$B$288*'Sensitivities 1P'!$B$10</f>
        <v>0</v>
      </c>
      <c r="AY69" s="27">
        <f>AY29*AY64*'Model Inputs'!$B$288*'Sensitivities 1P'!$B$10</f>
        <v>0</v>
      </c>
      <c r="AZ69" s="27">
        <f>AZ29*AZ64*'Model Inputs'!$B$288*'Sensitivities 1P'!$B$10</f>
        <v>0</v>
      </c>
      <c r="BA69" s="27">
        <f>BA29*BA64*'Model Inputs'!$B$288*'Sensitivities 1P'!$B$10</f>
        <v>0</v>
      </c>
      <c r="BB69" s="27">
        <f>BB29*BB64*'Model Inputs'!$B$288*'Sensitivities 1P'!$B$10</f>
        <v>0</v>
      </c>
      <c r="BC69" s="27">
        <f>BC29*BC64*'Model Inputs'!$B$288*'Sensitivities 1P'!$B$10</f>
        <v>0</v>
      </c>
      <c r="BD69" s="27">
        <f>BD29*BD64*'Model Inputs'!$B$288*'Sensitivities 1P'!$B$10</f>
        <v>0</v>
      </c>
      <c r="BE69" s="27">
        <f>BE29*BE64*'Model Inputs'!$B$288*'Sensitivities 1P'!$B$10</f>
        <v>0</v>
      </c>
      <c r="BF69" s="27">
        <f>BF29*BF64*'Model Inputs'!$B$288*'Sensitivities 1P'!$B$10</f>
        <v>0</v>
      </c>
      <c r="BG69" s="27">
        <f>BG29*BG64*'Model Inputs'!$B$288*'Sensitivities 1P'!$B$10</f>
        <v>0</v>
      </c>
      <c r="BH69" s="27">
        <f>BH29*BH64*'Model Inputs'!$B$288*'Sensitivities 1P'!$B$10</f>
        <v>0</v>
      </c>
      <c r="BI69" s="27">
        <f>BI29*BI64*'Model Inputs'!$B$288*'Sensitivities 1P'!$B$10</f>
        <v>0</v>
      </c>
      <c r="BJ69" s="27">
        <f>BJ29*BJ64*'Model Inputs'!$B$288*'Sensitivities 1P'!$B$10</f>
        <v>0</v>
      </c>
      <c r="BK69" s="27">
        <f>BK29*BK64*'Model Inputs'!$B$288*'Sensitivities 1P'!$B$10</f>
        <v>0</v>
      </c>
      <c r="BL69" s="27">
        <f>BL29*BL64*'Model Inputs'!$B$288*'Sensitivities 1P'!$B$10</f>
        <v>0</v>
      </c>
      <c r="BM69" s="27">
        <f>BM29*BM64*'Model Inputs'!$B$288*'Sensitivities 1P'!$B$10</f>
        <v>0</v>
      </c>
      <c r="BN69" s="27">
        <f>BN29*BN64*'Model Inputs'!$B$288*'Sensitivities 1P'!$B$10</f>
        <v>0</v>
      </c>
      <c r="BO69" s="27">
        <f>BO29*BO64*'Model Inputs'!$B$288*'Sensitivities 1P'!$B$10</f>
        <v>0</v>
      </c>
    </row>
    <row r="70" spans="1:67" ht="15" customHeight="1" x14ac:dyDescent="0.2">
      <c r="A70" s="14" t="s">
        <v>212</v>
      </c>
      <c r="B70" s="68">
        <f t="shared" si="33"/>
        <v>101588.43230627324</v>
      </c>
      <c r="C70" s="27">
        <f>C30*C64*'Model Inputs'!$B$288*'Sensitivities 1P'!$B$10</f>
        <v>1866.1299915857401</v>
      </c>
      <c r="D70" s="27">
        <f>D30*D64*'Model Inputs'!$B$288*'Sensitivities 1P'!$B$10</f>
        <v>1903.4525914174549</v>
      </c>
      <c r="E70" s="27">
        <f>E30*E64*'Model Inputs'!$B$288*'Sensitivities 1P'!$B$10</f>
        <v>1941.5216432458037</v>
      </c>
      <c r="F70" s="27">
        <f>F30*F64*'Model Inputs'!$B$288*'Sensitivities 1P'!$B$10</f>
        <v>1980.3520761107197</v>
      </c>
      <c r="G70" s="27">
        <f>G30*G64*'Model Inputs'!$B$288*'Sensitivities 1P'!$B$10</f>
        <v>2019.9591176329345</v>
      </c>
      <c r="H70" s="27">
        <f>H30*H64*'Model Inputs'!$B$288*'Sensitivities 1P'!$B$10</f>
        <v>2060.358299985593</v>
      </c>
      <c r="I70" s="27">
        <f>I30*I64*'Model Inputs'!$B$288*'Sensitivities 1P'!$B$10</f>
        <v>2101.5654659853049</v>
      </c>
      <c r="J70" s="27">
        <f>J30*J64*'Model Inputs'!$B$288*'Sensitivities 1P'!$B$10</f>
        <v>2143.5967753050109</v>
      </c>
      <c r="K70" s="27">
        <f>K30*K64*'Model Inputs'!$B$288*'Sensitivities 1P'!$B$10</f>
        <v>2186.4687108111116</v>
      </c>
      <c r="L70" s="27">
        <f>L30*L64*'Model Inputs'!$B$288*'Sensitivities 1P'!$B$10</f>
        <v>2230.1980850273335</v>
      </c>
      <c r="M70" s="27">
        <f>M30*M64*'Model Inputs'!$B$288*'Sensitivities 1P'!$B$10</f>
        <v>2274.8020467278802</v>
      </c>
      <c r="N70" s="27">
        <f>N30*N64*'Model Inputs'!$B$288*'Sensitivities 1P'!$B$10</f>
        <v>2320.2980876624379</v>
      </c>
      <c r="O70" s="27">
        <f>O30*O64*'Model Inputs'!$B$288*'Sensitivities 1P'!$B$10</f>
        <v>2366.7040494156868</v>
      </c>
      <c r="P70" s="27">
        <f>P30*P64*'Model Inputs'!$B$288*'Sensitivities 1P'!$B$10</f>
        <v>2414.0381304040006</v>
      </c>
      <c r="Q70" s="27">
        <f>Q30*Q64*'Model Inputs'!$B$288*'Sensitivities 1P'!$B$10</f>
        <v>2462.3188930120805</v>
      </c>
      <c r="R70" s="27">
        <f>R30*R64*'Model Inputs'!$B$288*'Sensitivities 1P'!$B$10</f>
        <v>2511.5652708723223</v>
      </c>
      <c r="S70" s="27">
        <f>S30*S64*'Model Inputs'!$B$288*'Sensitivities 1P'!$B$10</f>
        <v>2561.7965762897688</v>
      </c>
      <c r="T70" s="27">
        <f>T30*T64*'Model Inputs'!$B$288*'Sensitivities 1P'!$B$10</f>
        <v>2613.0325078155643</v>
      </c>
      <c r="U70" s="27">
        <f>U30*U64*'Model Inputs'!$B$288*'Sensitivities 1P'!$B$10</f>
        <v>2665.2931579718756</v>
      </c>
      <c r="V70" s="27">
        <f>V30*V64*'Model Inputs'!$B$288*'Sensitivities 1P'!$B$10</f>
        <v>2718.5990211313128</v>
      </c>
      <c r="W70" s="27">
        <f>W30*W64*'Model Inputs'!$B$288*'Sensitivities 1P'!$B$10</f>
        <v>2772.9710015539399</v>
      </c>
      <c r="X70" s="27">
        <f>X30*X64*'Model Inputs'!$B$288*'Sensitivities 1P'!$B$10</f>
        <v>2828.4304215850188</v>
      </c>
      <c r="Y70" s="27">
        <f>Y30*Y64*'Model Inputs'!$B$288*'Sensitivities 1P'!$B$10</f>
        <v>2884.9990300167187</v>
      </c>
      <c r="Z70" s="27">
        <f>Z30*Z64*'Model Inputs'!$B$288*'Sensitivities 1P'!$B$10</f>
        <v>2942.6990106170538</v>
      </c>
      <c r="AA70" s="27">
        <f>AA30*AA64*'Model Inputs'!$B$288*'Sensitivities 1P'!$B$10</f>
        <v>3001.5529908293947</v>
      </c>
      <c r="AB70" s="27">
        <f>AB30*AB64*'Model Inputs'!$B$288*'Sensitivities 1P'!$B$10</f>
        <v>3061.5840506459822</v>
      </c>
      <c r="AC70" s="27">
        <f>AC30*AC64*'Model Inputs'!$B$288*'Sensitivities 1P'!$B$10</f>
        <v>3122.8157316589018</v>
      </c>
      <c r="AD70" s="27">
        <f>AD30*AD64*'Model Inputs'!$B$288*'Sensitivities 1P'!$B$10</f>
        <v>3185.2720462920802</v>
      </c>
      <c r="AE70" s="27">
        <f>AE30*AE64*'Model Inputs'!$B$288*'Sensitivities 1P'!$B$10</f>
        <v>3248.9774872179219</v>
      </c>
      <c r="AF70" s="27">
        <f>AF30*AF64*'Model Inputs'!$B$288*'Sensitivities 1P'!$B$10</f>
        <v>3313.9570369622807</v>
      </c>
      <c r="AG70" s="27">
        <f>AG30*AG64*'Model Inputs'!$B$288*'Sensitivities 1P'!$B$10</f>
        <v>3380.2361777015262</v>
      </c>
      <c r="AH70" s="27">
        <f>AH30*AH64*'Model Inputs'!$B$288*'Sensitivities 1P'!$B$10</f>
        <v>3447.8409012555567</v>
      </c>
      <c r="AI70" s="27">
        <f>AI30*AI64*'Model Inputs'!$B$288*'Sensitivities 1P'!$B$10</f>
        <v>3516.7977192806684</v>
      </c>
      <c r="AJ70" s="27">
        <f>AJ30*AJ64*'Model Inputs'!$B$288*'Sensitivities 1P'!$B$10</f>
        <v>3587.1336736662815</v>
      </c>
      <c r="AK70" s="27">
        <f>AK30*AK64*'Model Inputs'!$B$288*'Sensitivities 1P'!$B$10</f>
        <v>3658.8763471396073</v>
      </c>
      <c r="AL70" s="27">
        <f>AL30*AL64*'Model Inputs'!$B$288*'Sensitivities 1P'!$B$10</f>
        <v>3732.053874082399</v>
      </c>
      <c r="AM70" s="27">
        <f>AM30*AM64*'Model Inputs'!$B$288*'Sensitivities 1P'!$B$10</f>
        <v>3806.6949515640467</v>
      </c>
      <c r="AN70" s="27">
        <f>AN30*AN64*'Model Inputs'!$B$288*'Sensitivities 1P'!$B$10</f>
        <v>753.48935579391696</v>
      </c>
      <c r="AO70" s="27">
        <f>AO30*AO64*'Model Inputs'!$B$288*'Sensitivities 1P'!$B$10</f>
        <v>0</v>
      </c>
      <c r="AP70" s="27">
        <f>AP30*AP64*'Model Inputs'!$B$288*'Sensitivities 1P'!$B$10</f>
        <v>0</v>
      </c>
      <c r="AQ70" s="27">
        <f>AQ30*AQ64*'Model Inputs'!$B$288*'Sensitivities 1P'!$B$10</f>
        <v>0</v>
      </c>
      <c r="AR70" s="27">
        <f>AR30*AR64*'Model Inputs'!$B$288*'Sensitivities 1P'!$B$10</f>
        <v>0</v>
      </c>
      <c r="AS70" s="27">
        <f>AS30*AS64*'Model Inputs'!$B$288*'Sensitivities 1P'!$B$10</f>
        <v>0</v>
      </c>
      <c r="AT70" s="27">
        <f>AT30*AT64*'Model Inputs'!$B$288*'Sensitivities 1P'!$B$10</f>
        <v>0</v>
      </c>
      <c r="AU70" s="27">
        <f>AU30*AU64*'Model Inputs'!$B$288*'Sensitivities 1P'!$B$10</f>
        <v>0</v>
      </c>
      <c r="AV70" s="27">
        <f>AV30*AV64*'Model Inputs'!$B$288*'Sensitivities 1P'!$B$10</f>
        <v>0</v>
      </c>
      <c r="AW70" s="27">
        <f>AW30*AW64*'Model Inputs'!$B$288*'Sensitivities 1P'!$B$10</f>
        <v>0</v>
      </c>
      <c r="AX70" s="27">
        <f>AX30*AX64*'Model Inputs'!$B$288*'Sensitivities 1P'!$B$10</f>
        <v>0</v>
      </c>
      <c r="AY70" s="27">
        <f>AY30*AY64*'Model Inputs'!$B$288*'Sensitivities 1P'!$B$10</f>
        <v>0</v>
      </c>
      <c r="AZ70" s="27">
        <f>AZ30*AZ64*'Model Inputs'!$B$288*'Sensitivities 1P'!$B$10</f>
        <v>0</v>
      </c>
      <c r="BA70" s="27">
        <f>BA30*BA64*'Model Inputs'!$B$288*'Sensitivities 1P'!$B$10</f>
        <v>0</v>
      </c>
      <c r="BB70" s="27">
        <f>BB30*BB64*'Model Inputs'!$B$288*'Sensitivities 1P'!$B$10</f>
        <v>0</v>
      </c>
      <c r="BC70" s="27">
        <f>BC30*BC64*'Model Inputs'!$B$288*'Sensitivities 1P'!$B$10</f>
        <v>0</v>
      </c>
      <c r="BD70" s="27">
        <f>BD30*BD64*'Model Inputs'!$B$288*'Sensitivities 1P'!$B$10</f>
        <v>0</v>
      </c>
      <c r="BE70" s="27">
        <f>BE30*BE64*'Model Inputs'!$B$288*'Sensitivities 1P'!$B$10</f>
        <v>0</v>
      </c>
      <c r="BF70" s="27">
        <f>BF30*BF64*'Model Inputs'!$B$288*'Sensitivities 1P'!$B$10</f>
        <v>0</v>
      </c>
      <c r="BG70" s="27">
        <f>BG30*BG64*'Model Inputs'!$B$288*'Sensitivities 1P'!$B$10</f>
        <v>0</v>
      </c>
      <c r="BH70" s="27">
        <f>BH30*BH64*'Model Inputs'!$B$288*'Sensitivities 1P'!$B$10</f>
        <v>0</v>
      </c>
      <c r="BI70" s="27">
        <f>BI30*BI64*'Model Inputs'!$B$288*'Sensitivities 1P'!$B$10</f>
        <v>0</v>
      </c>
      <c r="BJ70" s="27">
        <f>BJ30*BJ64*'Model Inputs'!$B$288*'Sensitivities 1P'!$B$10</f>
        <v>0</v>
      </c>
      <c r="BK70" s="27">
        <f>BK30*BK64*'Model Inputs'!$B$288*'Sensitivities 1P'!$B$10</f>
        <v>0</v>
      </c>
      <c r="BL70" s="27">
        <f>BL30*BL64*'Model Inputs'!$B$288*'Sensitivities 1P'!$B$10</f>
        <v>0</v>
      </c>
      <c r="BM70" s="27">
        <f>BM30*BM64*'Model Inputs'!$B$288*'Sensitivities 1P'!$B$10</f>
        <v>0</v>
      </c>
      <c r="BN70" s="27">
        <f>BN30*BN64*'Model Inputs'!$B$288*'Sensitivities 1P'!$B$10</f>
        <v>0</v>
      </c>
      <c r="BO70" s="27">
        <f>BO30*BO64*'Model Inputs'!$B$288*'Sensitivities 1P'!$B$10</f>
        <v>0</v>
      </c>
    </row>
    <row r="71" spans="1:67" ht="15" customHeight="1" x14ac:dyDescent="0.2">
      <c r="A71" s="14" t="s">
        <v>213</v>
      </c>
      <c r="B71" s="68">
        <f t="shared" si="33"/>
        <v>26820.309792285218</v>
      </c>
      <c r="C71" s="27">
        <f>C31*C64*'Model Inputs'!$B$288*'Sensitivities 1P'!$B$10</f>
        <v>438.88521292595601</v>
      </c>
      <c r="D71" s="27">
        <f>D31*D64*'Model Inputs'!$B$288*'Sensitivities 1P'!$B$10</f>
        <v>447.66291718447513</v>
      </c>
      <c r="E71" s="27">
        <f>E31*E64*'Model Inputs'!$B$288*'Sensitivities 1P'!$B$10</f>
        <v>456.61617552816466</v>
      </c>
      <c r="F71" s="27">
        <f>F31*F64*'Model Inputs'!$B$288*'Sensitivities 1P'!$B$10</f>
        <v>465.74849903872791</v>
      </c>
      <c r="G71" s="27">
        <f>G31*G64*'Model Inputs'!$B$288*'Sensitivities 1P'!$B$10</f>
        <v>475.06346901950252</v>
      </c>
      <c r="H71" s="27">
        <f>H31*H64*'Model Inputs'!$B$288*'Sensitivities 1P'!$B$10</f>
        <v>484.56473839989258</v>
      </c>
      <c r="I71" s="27">
        <f>I31*I64*'Model Inputs'!$B$288*'Sensitivities 1P'!$B$10</f>
        <v>494.25603316789045</v>
      </c>
      <c r="J71" s="27">
        <f>J31*J64*'Model Inputs'!$B$288*'Sensitivities 1P'!$B$10</f>
        <v>504.14115383124818</v>
      </c>
      <c r="K71" s="27">
        <f>K31*K64*'Model Inputs'!$B$288*'Sensitivities 1P'!$B$10</f>
        <v>514.22397690787318</v>
      </c>
      <c r="L71" s="27">
        <f>L31*L64*'Model Inputs'!$B$288*'Sensitivities 1P'!$B$10</f>
        <v>524.50845644603078</v>
      </c>
      <c r="M71" s="27">
        <f>M31*M64*'Model Inputs'!$B$288*'Sensitivities 1P'!$B$10</f>
        <v>534.99862557495135</v>
      </c>
      <c r="N71" s="27">
        <f>N31*N64*'Model Inputs'!$B$288*'Sensitivities 1P'!$B$10</f>
        <v>545.69859808645037</v>
      </c>
      <c r="O71" s="27">
        <f>O31*O64*'Model Inputs'!$B$288*'Sensitivities 1P'!$B$10</f>
        <v>556.61257004817935</v>
      </c>
      <c r="P71" s="27">
        <f>P31*P64*'Model Inputs'!$B$288*'Sensitivities 1P'!$B$10</f>
        <v>567.74482144914282</v>
      </c>
      <c r="Q71" s="27">
        <f>Q31*Q64*'Model Inputs'!$B$288*'Sensitivities 1P'!$B$10</f>
        <v>579.09971787812583</v>
      </c>
      <c r="R71" s="27">
        <f>R31*R64*'Model Inputs'!$B$288*'Sensitivities 1P'!$B$10</f>
        <v>590.68171223568834</v>
      </c>
      <c r="S71" s="27">
        <f>S31*S64*'Model Inputs'!$B$288*'Sensitivities 1P'!$B$10</f>
        <v>602.49534648040208</v>
      </c>
      <c r="T71" s="27">
        <f>T31*T64*'Model Inputs'!$B$288*'Sensitivities 1P'!$B$10</f>
        <v>614.54525341001022</v>
      </c>
      <c r="U71" s="27">
        <f>U31*U64*'Model Inputs'!$B$288*'Sensitivities 1P'!$B$10</f>
        <v>626.83615847821045</v>
      </c>
      <c r="V71" s="27">
        <f>V31*V64*'Model Inputs'!$B$288*'Sensitivities 1P'!$B$10</f>
        <v>639.37288164777465</v>
      </c>
      <c r="W71" s="27">
        <f>W31*W64*'Model Inputs'!$B$288*'Sensitivities 1P'!$B$10</f>
        <v>652.16033928073023</v>
      </c>
      <c r="X71" s="27">
        <f>X31*X64*'Model Inputs'!$B$288*'Sensitivities 1P'!$B$10</f>
        <v>665.20354606634487</v>
      </c>
      <c r="Y71" s="27">
        <f>Y31*Y64*'Model Inputs'!$B$288*'Sensitivities 1P'!$B$10</f>
        <v>678.50761698767167</v>
      </c>
      <c r="Z71" s="27">
        <f>Z31*Z64*'Model Inputs'!$B$288*'Sensitivities 1P'!$B$10</f>
        <v>692.07776932742513</v>
      </c>
      <c r="AA71" s="27">
        <f>AA31*AA64*'Model Inputs'!$B$288*'Sensitivities 1P'!$B$10</f>
        <v>705.91932471397377</v>
      </c>
      <c r="AB71" s="27">
        <f>AB31*AB64*'Model Inputs'!$B$288*'Sensitivities 1P'!$B$10</f>
        <v>720.03771120825309</v>
      </c>
      <c r="AC71" s="27">
        <f>AC31*AC64*'Model Inputs'!$B$288*'Sensitivities 1P'!$B$10</f>
        <v>734.43846543241818</v>
      </c>
      <c r="AD71" s="27">
        <f>AD31*AD64*'Model Inputs'!$B$288*'Sensitivities 1P'!$B$10</f>
        <v>749.12723474106656</v>
      </c>
      <c r="AE71" s="27">
        <f>AE31*AE64*'Model Inputs'!$B$288*'Sensitivities 1P'!$B$10</f>
        <v>764.10977943588796</v>
      </c>
      <c r="AF71" s="27">
        <f>AF31*AF64*'Model Inputs'!$B$288*'Sensitivities 1P'!$B$10</f>
        <v>779.3919750246057</v>
      </c>
      <c r="AG71" s="27">
        <f>AG31*AG64*'Model Inputs'!$B$288*'Sensitivities 1P'!$B$10</f>
        <v>794.97981452509794</v>
      </c>
      <c r="AH71" s="27">
        <f>AH31*AH64*'Model Inputs'!$B$288*'Sensitivities 1P'!$B$10</f>
        <v>810.87941081559973</v>
      </c>
      <c r="AI71" s="27">
        <f>AI31*AI64*'Model Inputs'!$B$288*'Sensitivities 1P'!$B$10</f>
        <v>827.09699903191188</v>
      </c>
      <c r="AJ71" s="27">
        <f>AJ31*AJ64*'Model Inputs'!$B$288*'Sensitivities 1P'!$B$10</f>
        <v>843.63893901255017</v>
      </c>
      <c r="AK71" s="27">
        <f>AK31*AK64*'Model Inputs'!$B$288*'Sensitivities 1P'!$B$10</f>
        <v>860.51171779280116</v>
      </c>
      <c r="AL71" s="27">
        <f>AL31*AL64*'Model Inputs'!$B$288*'Sensitivities 1P'!$B$10</f>
        <v>877.72195214865724</v>
      </c>
      <c r="AM71" s="27">
        <f>AM31*AM64*'Model Inputs'!$B$288*'Sensitivities 1P'!$B$10</f>
        <v>895.27639119163018</v>
      </c>
      <c r="AN71" s="27">
        <f>AN31*AN64*'Model Inputs'!$B$288*'Sensitivities 1P'!$B$10</f>
        <v>913.18191901546288</v>
      </c>
      <c r="AO71" s="27">
        <f>AO31*AO64*'Model Inputs'!$B$288*'Sensitivities 1P'!$B$10</f>
        <v>931.44555739577231</v>
      </c>
      <c r="AP71" s="27">
        <f>AP31*AP64*'Model Inputs'!$B$288*'Sensitivities 1P'!$B$10</f>
        <v>950.07446854368766</v>
      </c>
      <c r="AQ71" s="27">
        <f>AQ31*AQ64*'Model Inputs'!$B$288*'Sensitivities 1P'!$B$10</f>
        <v>310.7725428549723</v>
      </c>
      <c r="AR71" s="27">
        <f>AR31*AR64*'Model Inputs'!$B$288*'Sensitivities 1P'!$B$10</f>
        <v>0</v>
      </c>
      <c r="AS71" s="27">
        <f>AS31*AS64*'Model Inputs'!$B$288*'Sensitivities 1P'!$B$10</f>
        <v>0</v>
      </c>
      <c r="AT71" s="27">
        <f>AT31*AT64*'Model Inputs'!$B$288*'Sensitivities 1P'!$B$10</f>
        <v>0</v>
      </c>
      <c r="AU71" s="27">
        <f>AU31*AU64*'Model Inputs'!$B$288*'Sensitivities 1P'!$B$10</f>
        <v>0</v>
      </c>
      <c r="AV71" s="27">
        <f>AV31*AV64*'Model Inputs'!$B$288*'Sensitivities 1P'!$B$10</f>
        <v>0</v>
      </c>
      <c r="AW71" s="27">
        <f>AW31*AW64*'Model Inputs'!$B$288*'Sensitivities 1P'!$B$10</f>
        <v>0</v>
      </c>
      <c r="AX71" s="27">
        <f>AX31*AX64*'Model Inputs'!$B$288*'Sensitivities 1P'!$B$10</f>
        <v>0</v>
      </c>
      <c r="AY71" s="27">
        <f>AY31*AY64*'Model Inputs'!$B$288*'Sensitivities 1P'!$B$10</f>
        <v>0</v>
      </c>
      <c r="AZ71" s="27">
        <f>AZ31*AZ64*'Model Inputs'!$B$288*'Sensitivities 1P'!$B$10</f>
        <v>0</v>
      </c>
      <c r="BA71" s="27">
        <f>BA31*BA64*'Model Inputs'!$B$288*'Sensitivities 1P'!$B$10</f>
        <v>0</v>
      </c>
      <c r="BB71" s="27">
        <f>BB31*BB64*'Model Inputs'!$B$288*'Sensitivities 1P'!$B$10</f>
        <v>0</v>
      </c>
      <c r="BC71" s="27">
        <f>BC31*BC64*'Model Inputs'!$B$288*'Sensitivities 1P'!$B$10</f>
        <v>0</v>
      </c>
      <c r="BD71" s="27">
        <f>BD31*BD64*'Model Inputs'!$B$288*'Sensitivities 1P'!$B$10</f>
        <v>0</v>
      </c>
      <c r="BE71" s="27">
        <f>BE31*BE64*'Model Inputs'!$B$288*'Sensitivities 1P'!$B$10</f>
        <v>0</v>
      </c>
      <c r="BF71" s="27">
        <f>BF31*BF64*'Model Inputs'!$B$288*'Sensitivities 1P'!$B$10</f>
        <v>0</v>
      </c>
      <c r="BG71" s="27">
        <f>BG31*BG64*'Model Inputs'!$B$288*'Sensitivities 1P'!$B$10</f>
        <v>0</v>
      </c>
      <c r="BH71" s="27">
        <f>BH31*BH64*'Model Inputs'!$B$288*'Sensitivities 1P'!$B$10</f>
        <v>0</v>
      </c>
      <c r="BI71" s="27">
        <f>BI31*BI64*'Model Inputs'!$B$288*'Sensitivities 1P'!$B$10</f>
        <v>0</v>
      </c>
      <c r="BJ71" s="27">
        <f>BJ31*BJ64*'Model Inputs'!$B$288*'Sensitivities 1P'!$B$10</f>
        <v>0</v>
      </c>
      <c r="BK71" s="27">
        <f>BK31*BK64*'Model Inputs'!$B$288*'Sensitivities 1P'!$B$10</f>
        <v>0</v>
      </c>
      <c r="BL71" s="27">
        <f>BL31*BL64*'Model Inputs'!$B$288*'Sensitivities 1P'!$B$10</f>
        <v>0</v>
      </c>
      <c r="BM71" s="27">
        <f>BM31*BM64*'Model Inputs'!$B$288*'Sensitivities 1P'!$B$10</f>
        <v>0</v>
      </c>
      <c r="BN71" s="27">
        <f>BN31*BN64*'Model Inputs'!$B$288*'Sensitivities 1P'!$B$10</f>
        <v>0</v>
      </c>
      <c r="BO71" s="27">
        <f>BO31*BO64*'Model Inputs'!$B$288*'Sensitivities 1P'!$B$10</f>
        <v>0</v>
      </c>
    </row>
    <row r="72" spans="1:67" ht="15" customHeight="1" x14ac:dyDescent="0.2">
      <c r="A72" s="14" t="s">
        <v>214</v>
      </c>
      <c r="B72" s="68">
        <f t="shared" si="33"/>
        <v>225366.41938535069</v>
      </c>
      <c r="C72" s="27">
        <f>C32*C64*'Model Inputs'!$B$288*'Sensitivities 1P'!$B$10</f>
        <v>3687.8764534908955</v>
      </c>
      <c r="D72" s="27">
        <f>D32*D64*'Model Inputs'!$B$288*'Sensitivities 1P'!$B$10</f>
        <v>3761.6339825607133</v>
      </c>
      <c r="E72" s="27">
        <f>E32*E64*'Model Inputs'!$B$288*'Sensitivities 1P'!$B$10</f>
        <v>3836.8666622119276</v>
      </c>
      <c r="F72" s="27">
        <f>F32*F64*'Model Inputs'!$B$288*'Sensitivities 1P'!$B$10</f>
        <v>3913.6039954561661</v>
      </c>
      <c r="G72" s="27">
        <f>G32*G64*'Model Inputs'!$B$288*'Sensitivities 1P'!$B$10</f>
        <v>3991.8760753652896</v>
      </c>
      <c r="H72" s="27">
        <f>H32*H64*'Model Inputs'!$B$288*'Sensitivities 1P'!$B$10</f>
        <v>4071.7135968725952</v>
      </c>
      <c r="I72" s="27">
        <f>I32*I64*'Model Inputs'!$B$288*'Sensitivities 1P'!$B$10</f>
        <v>4153.1478688100478</v>
      </c>
      <c r="J72" s="27">
        <f>J32*J64*'Model Inputs'!$B$288*'Sensitivities 1P'!$B$10</f>
        <v>4236.2108261862486</v>
      </c>
      <c r="K72" s="27">
        <f>K32*K64*'Model Inputs'!$B$288*'Sensitivities 1P'!$B$10</f>
        <v>4320.9350427099735</v>
      </c>
      <c r="L72" s="27">
        <f>L32*L64*'Model Inputs'!$B$288*'Sensitivities 1P'!$B$10</f>
        <v>4407.3537435641729</v>
      </c>
      <c r="M72" s="27">
        <f>M32*M64*'Model Inputs'!$B$288*'Sensitivities 1P'!$B$10</f>
        <v>4495.5008184354565</v>
      </c>
      <c r="N72" s="27">
        <f>N32*N64*'Model Inputs'!$B$288*'Sensitivities 1P'!$B$10</f>
        <v>4585.4108348041664</v>
      </c>
      <c r="O72" s="27">
        <f>O32*O64*'Model Inputs'!$B$288*'Sensitivities 1P'!$B$10</f>
        <v>4677.119051500249</v>
      </c>
      <c r="P72" s="27">
        <f>P32*P64*'Model Inputs'!$B$288*'Sensitivities 1P'!$B$10</f>
        <v>4770.6614325302535</v>
      </c>
      <c r="Q72" s="27">
        <f>Q32*Q64*'Model Inputs'!$B$288*'Sensitivities 1P'!$B$10</f>
        <v>4866.074661180859</v>
      </c>
      <c r="R72" s="27">
        <f>R32*R64*'Model Inputs'!$B$288*'Sensitivities 1P'!$B$10</f>
        <v>4963.3961544044769</v>
      </c>
      <c r="S72" s="27">
        <f>S32*S64*'Model Inputs'!$B$288*'Sensitivities 1P'!$B$10</f>
        <v>5062.6640774925663</v>
      </c>
      <c r="T72" s="27">
        <f>T32*T64*'Model Inputs'!$B$288*'Sensitivities 1P'!$B$10</f>
        <v>5163.917359042418</v>
      </c>
      <c r="U72" s="27">
        <f>U32*U64*'Model Inputs'!$B$288*'Sensitivities 1P'!$B$10</f>
        <v>5267.1957062232668</v>
      </c>
      <c r="V72" s="27">
        <f>V32*V64*'Model Inputs'!$B$288*'Sensitivities 1P'!$B$10</f>
        <v>5372.5396203477321</v>
      </c>
      <c r="W72" s="27">
        <f>W32*W64*'Model Inputs'!$B$288*'Sensitivities 1P'!$B$10</f>
        <v>5479.990412754687</v>
      </c>
      <c r="X72" s="27">
        <f>X32*X64*'Model Inputs'!$B$288*'Sensitivities 1P'!$B$10</f>
        <v>5589.590221009782</v>
      </c>
      <c r="Y72" s="27">
        <f>Y32*Y64*'Model Inputs'!$B$288*'Sensitivities 1P'!$B$10</f>
        <v>5701.3820254299762</v>
      </c>
      <c r="Z72" s="27">
        <f>Z32*Z64*'Model Inputs'!$B$288*'Sensitivities 1P'!$B$10</f>
        <v>5815.4096659385768</v>
      </c>
      <c r="AA72" s="27">
        <f>AA32*AA64*'Model Inputs'!$B$288*'Sensitivities 1P'!$B$10</f>
        <v>5931.7178592573473</v>
      </c>
      <c r="AB72" s="27">
        <f>AB32*AB64*'Model Inputs'!$B$288*'Sensitivities 1P'!$B$10</f>
        <v>6050.3522164424949</v>
      </c>
      <c r="AC72" s="27">
        <f>AC32*AC64*'Model Inputs'!$B$288*'Sensitivities 1P'!$B$10</f>
        <v>6171.3592607713435</v>
      </c>
      <c r="AD72" s="27">
        <f>AD32*AD64*'Model Inputs'!$B$288*'Sensitivities 1P'!$B$10</f>
        <v>6294.7864459867715</v>
      </c>
      <c r="AE72" s="27">
        <f>AE32*AE64*'Model Inputs'!$B$288*'Sensitivities 1P'!$B$10</f>
        <v>6420.6821749065075</v>
      </c>
      <c r="AF72" s="27">
        <f>AF32*AF64*'Model Inputs'!$B$288*'Sensitivities 1P'!$B$10</f>
        <v>6549.0958184046367</v>
      </c>
      <c r="AG72" s="27">
        <f>AG32*AG64*'Model Inputs'!$B$288*'Sensitivities 1P'!$B$10</f>
        <v>6680.0777347727308</v>
      </c>
      <c r="AH72" s="27">
        <f>AH32*AH64*'Model Inputs'!$B$288*'Sensitivities 1P'!$B$10</f>
        <v>6813.6792894681848</v>
      </c>
      <c r="AI72" s="27">
        <f>AI32*AI64*'Model Inputs'!$B$288*'Sensitivities 1P'!$B$10</f>
        <v>6949.9528752575488</v>
      </c>
      <c r="AJ72" s="27">
        <f>AJ32*AJ64*'Model Inputs'!$B$288*'Sensitivities 1P'!$B$10</f>
        <v>7088.9519327627013</v>
      </c>
      <c r="AK72" s="27">
        <f>AK32*AK64*'Model Inputs'!$B$288*'Sensitivities 1P'!$B$10</f>
        <v>7230.7309714179546</v>
      </c>
      <c r="AL72" s="27">
        <f>AL32*AL64*'Model Inputs'!$B$288*'Sensitivities 1P'!$B$10</f>
        <v>7375.3455908463138</v>
      </c>
      <c r="AM72" s="27">
        <f>AM32*AM64*'Model Inputs'!$B$288*'Sensitivities 1P'!$B$10</f>
        <v>7522.8525026632387</v>
      </c>
      <c r="AN72" s="27">
        <f>AN32*AN64*'Model Inputs'!$B$288*'Sensitivities 1P'!$B$10</f>
        <v>7673.3095527165051</v>
      </c>
      <c r="AO72" s="27">
        <f>AO32*AO64*'Model Inputs'!$B$288*'Sensitivities 1P'!$B$10</f>
        <v>7826.775743770836</v>
      </c>
      <c r="AP72" s="27">
        <f>AP32*AP64*'Model Inputs'!$B$288*'Sensitivities 1P'!$B$10</f>
        <v>7983.311258646253</v>
      </c>
      <c r="AQ72" s="27">
        <f>AQ32*AQ64*'Model Inputs'!$B$288*'Sensitivities 1P'!$B$10</f>
        <v>2611.3678689368339</v>
      </c>
      <c r="AR72" s="27">
        <f>AR32*AR64*'Model Inputs'!$B$288*'Sensitivities 1P'!$B$10</f>
        <v>0</v>
      </c>
      <c r="AS72" s="27">
        <f>AS32*AS64*'Model Inputs'!$B$288*'Sensitivities 1P'!$B$10</f>
        <v>0</v>
      </c>
      <c r="AT72" s="27">
        <f>AT32*AT64*'Model Inputs'!$B$288*'Sensitivities 1P'!$B$10</f>
        <v>0</v>
      </c>
      <c r="AU72" s="27">
        <f>AU32*AU64*'Model Inputs'!$B$288*'Sensitivities 1P'!$B$10</f>
        <v>0</v>
      </c>
      <c r="AV72" s="27">
        <f>AV32*AV64*'Model Inputs'!$B$288*'Sensitivities 1P'!$B$10</f>
        <v>0</v>
      </c>
      <c r="AW72" s="27">
        <f>AW32*AW64*'Model Inputs'!$B$288*'Sensitivities 1P'!$B$10</f>
        <v>0</v>
      </c>
      <c r="AX72" s="27">
        <f>AX32*AX64*'Model Inputs'!$B$288*'Sensitivities 1P'!$B$10</f>
        <v>0</v>
      </c>
      <c r="AY72" s="27">
        <f>AY32*AY64*'Model Inputs'!$B$288*'Sensitivities 1P'!$B$10</f>
        <v>0</v>
      </c>
      <c r="AZ72" s="27">
        <f>AZ32*AZ64*'Model Inputs'!$B$288*'Sensitivities 1P'!$B$10</f>
        <v>0</v>
      </c>
      <c r="BA72" s="27">
        <f>BA32*BA64*'Model Inputs'!$B$288*'Sensitivities 1P'!$B$10</f>
        <v>0</v>
      </c>
      <c r="BB72" s="27">
        <f>BB32*BB64*'Model Inputs'!$B$288*'Sensitivities 1P'!$B$10</f>
        <v>0</v>
      </c>
      <c r="BC72" s="27">
        <f>BC32*BC64*'Model Inputs'!$B$288*'Sensitivities 1P'!$B$10</f>
        <v>0</v>
      </c>
      <c r="BD72" s="27">
        <f>BD32*BD64*'Model Inputs'!$B$288*'Sensitivities 1P'!$B$10</f>
        <v>0</v>
      </c>
      <c r="BE72" s="27">
        <f>BE32*BE64*'Model Inputs'!$B$288*'Sensitivities 1P'!$B$10</f>
        <v>0</v>
      </c>
      <c r="BF72" s="27">
        <f>BF32*BF64*'Model Inputs'!$B$288*'Sensitivities 1P'!$B$10</f>
        <v>0</v>
      </c>
      <c r="BG72" s="27">
        <f>BG32*BG64*'Model Inputs'!$B$288*'Sensitivities 1P'!$B$10</f>
        <v>0</v>
      </c>
      <c r="BH72" s="27">
        <f>BH32*BH64*'Model Inputs'!$B$288*'Sensitivities 1P'!$B$10</f>
        <v>0</v>
      </c>
      <c r="BI72" s="27">
        <f>BI32*BI64*'Model Inputs'!$B$288*'Sensitivities 1P'!$B$10</f>
        <v>0</v>
      </c>
      <c r="BJ72" s="27">
        <f>BJ32*BJ64*'Model Inputs'!$B$288*'Sensitivities 1P'!$B$10</f>
        <v>0</v>
      </c>
      <c r="BK72" s="27">
        <f>BK32*BK64*'Model Inputs'!$B$288*'Sensitivities 1P'!$B$10</f>
        <v>0</v>
      </c>
      <c r="BL72" s="27">
        <f>BL32*BL64*'Model Inputs'!$B$288*'Sensitivities 1P'!$B$10</f>
        <v>0</v>
      </c>
      <c r="BM72" s="27">
        <f>BM32*BM64*'Model Inputs'!$B$288*'Sensitivities 1P'!$B$10</f>
        <v>0</v>
      </c>
      <c r="BN72" s="27">
        <f>BN32*BN64*'Model Inputs'!$B$288*'Sensitivities 1P'!$B$10</f>
        <v>0</v>
      </c>
      <c r="BO72" s="27">
        <f>BO32*BO64*'Model Inputs'!$B$288*'Sensitivities 1P'!$B$10</f>
        <v>0</v>
      </c>
    </row>
    <row r="73" spans="1:67" ht="15" customHeight="1" x14ac:dyDescent="0.2">
      <c r="A73" s="14" t="s">
        <v>215</v>
      </c>
      <c r="B73" s="68">
        <f t="shared" si="33"/>
        <v>21070.403386630602</v>
      </c>
      <c r="C73" s="27">
        <f>C33*C64*'Model Inputs'!$B$288*'Sensitivities 1P'!$B$10</f>
        <v>784.05187972489807</v>
      </c>
      <c r="D73" s="27">
        <f>D33*D64*'Model Inputs'!$B$288*'Sensitivities 1P'!$B$10</f>
        <v>799.73291731939605</v>
      </c>
      <c r="E73" s="27">
        <f>E33*E64*'Model Inputs'!$B$288*'Sensitivities 1P'!$B$10</f>
        <v>815.727575665784</v>
      </c>
      <c r="F73" s="27">
        <f>F33*F64*'Model Inputs'!$B$288*'Sensitivities 1P'!$B$10</f>
        <v>832.04212717909968</v>
      </c>
      <c r="G73" s="27">
        <f>G33*G64*'Model Inputs'!$B$288*'Sensitivities 1P'!$B$10</f>
        <v>848.68296972268161</v>
      </c>
      <c r="H73" s="27">
        <f>H33*H64*'Model Inputs'!$B$288*'Sensitivities 1P'!$B$10</f>
        <v>865.65662911713537</v>
      </c>
      <c r="I73" s="27">
        <f>I33*I64*'Model Inputs'!$B$288*'Sensitivities 1P'!$B$10</f>
        <v>882.969761699478</v>
      </c>
      <c r="J73" s="27">
        <f>J33*J64*'Model Inputs'!$B$288*'Sensitivities 1P'!$B$10</f>
        <v>900.62915693346758</v>
      </c>
      <c r="K73" s="27">
        <f>K33*K64*'Model Inputs'!$B$288*'Sensitivities 1P'!$B$10</f>
        <v>918.64174007213705</v>
      </c>
      <c r="L73" s="27">
        <f>L33*L64*'Model Inputs'!$B$288*'Sensitivities 1P'!$B$10</f>
        <v>937.0145748735797</v>
      </c>
      <c r="M73" s="27">
        <f>M33*M64*'Model Inputs'!$B$288*'Sensitivities 1P'!$B$10</f>
        <v>955.75486637105143</v>
      </c>
      <c r="N73" s="27">
        <f>N33*N64*'Model Inputs'!$B$288*'Sensitivities 1P'!$B$10</f>
        <v>974.86996369847236</v>
      </c>
      <c r="O73" s="27">
        <f>O33*O64*'Model Inputs'!$B$288*'Sensitivities 1P'!$B$10</f>
        <v>994.36736297244192</v>
      </c>
      <c r="P73" s="27">
        <f>P33*P64*'Model Inputs'!$B$288*'Sensitivities 1P'!$B$10</f>
        <v>1014.2547102318906</v>
      </c>
      <c r="Q73" s="27">
        <f>Q33*Q64*'Model Inputs'!$B$288*'Sensitivities 1P'!$B$10</f>
        <v>1034.5398044365286</v>
      </c>
      <c r="R73" s="27">
        <f>R33*R64*'Model Inputs'!$B$288*'Sensitivities 1P'!$B$10</f>
        <v>1055.2306005252592</v>
      </c>
      <c r="S73" s="27">
        <f>S33*S64*'Model Inputs'!$B$288*'Sensitivities 1P'!$B$10</f>
        <v>1076.3352125357644</v>
      </c>
      <c r="T73" s="27">
        <f>T33*T64*'Model Inputs'!$B$288*'Sensitivities 1P'!$B$10</f>
        <v>1097.8619167864797</v>
      </c>
      <c r="U73" s="27">
        <f>U33*U64*'Model Inputs'!$B$288*'Sensitivities 1P'!$B$10</f>
        <v>1119.8191551222094</v>
      </c>
      <c r="V73" s="27">
        <f>V33*V64*'Model Inputs'!$B$288*'Sensitivities 1P'!$B$10</f>
        <v>1142.2155382246535</v>
      </c>
      <c r="W73" s="27">
        <f>W33*W64*'Model Inputs'!$B$288*'Sensitivities 1P'!$B$10</f>
        <v>1165.0598489891465</v>
      </c>
      <c r="X73" s="27">
        <f>X33*X64*'Model Inputs'!$B$288*'Sensitivities 1P'!$B$10</f>
        <v>854.94507442904887</v>
      </c>
      <c r="Y73" s="27">
        <f>Y33*Y64*'Model Inputs'!$B$288*'Sensitivities 1P'!$B$10</f>
        <v>0</v>
      </c>
      <c r="Z73" s="27">
        <f>Z33*Z64*'Model Inputs'!$B$288*'Sensitivities 1P'!$B$10</f>
        <v>0</v>
      </c>
      <c r="AA73" s="27">
        <f>AA33*AA64*'Model Inputs'!$B$288*'Sensitivities 1P'!$B$10</f>
        <v>0</v>
      </c>
      <c r="AB73" s="27">
        <f>AB33*AB64*'Model Inputs'!$B$288*'Sensitivities 1P'!$B$10</f>
        <v>0</v>
      </c>
      <c r="AC73" s="27">
        <f>AC33*AC64*'Model Inputs'!$B$288*'Sensitivities 1P'!$B$10</f>
        <v>0</v>
      </c>
      <c r="AD73" s="27">
        <f>AD33*AD64*'Model Inputs'!$B$288*'Sensitivities 1P'!$B$10</f>
        <v>0</v>
      </c>
      <c r="AE73" s="27">
        <f>AE33*AE64*'Model Inputs'!$B$288*'Sensitivities 1P'!$B$10</f>
        <v>0</v>
      </c>
      <c r="AF73" s="27">
        <f>AF33*AF64*'Model Inputs'!$B$288*'Sensitivities 1P'!$B$10</f>
        <v>0</v>
      </c>
      <c r="AG73" s="27">
        <f>AG33*AG64*'Model Inputs'!$B$288*'Sensitivities 1P'!$B$10</f>
        <v>0</v>
      </c>
      <c r="AH73" s="27">
        <f>AH33*AH64*'Model Inputs'!$B$288*'Sensitivities 1P'!$B$10</f>
        <v>0</v>
      </c>
      <c r="AI73" s="27">
        <f>AI33*AI64*'Model Inputs'!$B$288*'Sensitivities 1P'!$B$10</f>
        <v>0</v>
      </c>
      <c r="AJ73" s="27">
        <f>AJ33*AJ64*'Model Inputs'!$B$288*'Sensitivities 1P'!$B$10</f>
        <v>0</v>
      </c>
      <c r="AK73" s="27">
        <f>AK33*AK64*'Model Inputs'!$B$288*'Sensitivities 1P'!$B$10</f>
        <v>0</v>
      </c>
      <c r="AL73" s="27">
        <f>AL33*AL64*'Model Inputs'!$B$288*'Sensitivities 1P'!$B$10</f>
        <v>0</v>
      </c>
      <c r="AM73" s="27">
        <f>AM33*AM64*'Model Inputs'!$B$288*'Sensitivities 1P'!$B$10</f>
        <v>0</v>
      </c>
      <c r="AN73" s="27">
        <f>AN33*AN64*'Model Inputs'!$B$288*'Sensitivities 1P'!$B$10</f>
        <v>0</v>
      </c>
      <c r="AO73" s="27">
        <f>AO33*AO64*'Model Inputs'!$B$288*'Sensitivities 1P'!$B$10</f>
        <v>0</v>
      </c>
      <c r="AP73" s="27">
        <f>AP33*AP64*'Model Inputs'!$B$288*'Sensitivities 1P'!$B$10</f>
        <v>0</v>
      </c>
      <c r="AQ73" s="27">
        <f>AQ33*AQ64*'Model Inputs'!$B$288*'Sensitivities 1P'!$B$10</f>
        <v>0</v>
      </c>
      <c r="AR73" s="27">
        <f>AR33*AR64*'Model Inputs'!$B$288*'Sensitivities 1P'!$B$10</f>
        <v>0</v>
      </c>
      <c r="AS73" s="27">
        <f>AS33*AS64*'Model Inputs'!$B$288*'Sensitivities 1P'!$B$10</f>
        <v>0</v>
      </c>
      <c r="AT73" s="27">
        <f>AT33*AT64*'Model Inputs'!$B$288*'Sensitivities 1P'!$B$10</f>
        <v>0</v>
      </c>
      <c r="AU73" s="27">
        <f>AU33*AU64*'Model Inputs'!$B$288*'Sensitivities 1P'!$B$10</f>
        <v>0</v>
      </c>
      <c r="AV73" s="27">
        <f>AV33*AV64*'Model Inputs'!$B$288*'Sensitivities 1P'!$B$10</f>
        <v>0</v>
      </c>
      <c r="AW73" s="27">
        <f>AW33*AW64*'Model Inputs'!$B$288*'Sensitivities 1P'!$B$10</f>
        <v>0</v>
      </c>
      <c r="AX73" s="27">
        <f>AX33*AX64*'Model Inputs'!$B$288*'Sensitivities 1P'!$B$10</f>
        <v>0</v>
      </c>
      <c r="AY73" s="27">
        <f>AY33*AY64*'Model Inputs'!$B$288*'Sensitivities 1P'!$B$10</f>
        <v>0</v>
      </c>
      <c r="AZ73" s="27">
        <f>AZ33*AZ64*'Model Inputs'!$B$288*'Sensitivities 1P'!$B$10</f>
        <v>0</v>
      </c>
      <c r="BA73" s="27">
        <f>BA33*BA64*'Model Inputs'!$B$288*'Sensitivities 1P'!$B$10</f>
        <v>0</v>
      </c>
      <c r="BB73" s="27">
        <f>BB33*BB64*'Model Inputs'!$B$288*'Sensitivities 1P'!$B$10</f>
        <v>0</v>
      </c>
      <c r="BC73" s="27">
        <f>BC33*BC64*'Model Inputs'!$B$288*'Sensitivities 1P'!$B$10</f>
        <v>0</v>
      </c>
      <c r="BD73" s="27">
        <f>BD33*BD64*'Model Inputs'!$B$288*'Sensitivities 1P'!$B$10</f>
        <v>0</v>
      </c>
      <c r="BE73" s="27">
        <f>BE33*BE64*'Model Inputs'!$B$288*'Sensitivities 1P'!$B$10</f>
        <v>0</v>
      </c>
      <c r="BF73" s="27">
        <f>BF33*BF64*'Model Inputs'!$B$288*'Sensitivities 1P'!$B$10</f>
        <v>0</v>
      </c>
      <c r="BG73" s="27">
        <f>BG33*BG64*'Model Inputs'!$B$288*'Sensitivities 1P'!$B$10</f>
        <v>0</v>
      </c>
      <c r="BH73" s="27">
        <f>BH33*BH64*'Model Inputs'!$B$288*'Sensitivities 1P'!$B$10</f>
        <v>0</v>
      </c>
      <c r="BI73" s="27">
        <f>BI33*BI64*'Model Inputs'!$B$288*'Sensitivities 1P'!$B$10</f>
        <v>0</v>
      </c>
      <c r="BJ73" s="27">
        <f>BJ33*BJ64*'Model Inputs'!$B$288*'Sensitivities 1P'!$B$10</f>
        <v>0</v>
      </c>
      <c r="BK73" s="27">
        <f>BK33*BK64*'Model Inputs'!$B$288*'Sensitivities 1P'!$B$10</f>
        <v>0</v>
      </c>
      <c r="BL73" s="27">
        <f>BL33*BL64*'Model Inputs'!$B$288*'Sensitivities 1P'!$B$10</f>
        <v>0</v>
      </c>
      <c r="BM73" s="27">
        <f>BM33*BM64*'Model Inputs'!$B$288*'Sensitivities 1P'!$B$10</f>
        <v>0</v>
      </c>
      <c r="BN73" s="27">
        <f>BN33*BN64*'Model Inputs'!$B$288*'Sensitivities 1P'!$B$10</f>
        <v>0</v>
      </c>
      <c r="BO73" s="27">
        <f>BO33*BO64*'Model Inputs'!$B$288*'Sensitivities 1P'!$B$10</f>
        <v>0</v>
      </c>
    </row>
    <row r="74" spans="1:67" ht="15" customHeight="1" x14ac:dyDescent="0.2">
      <c r="A74" s="14" t="s">
        <v>216</v>
      </c>
      <c r="B74" s="68">
        <f t="shared" si="33"/>
        <v>77395.692243914847</v>
      </c>
      <c r="C74" s="27">
        <f>C34/6*C64*'Model Inputs'!$B$288*'Sensitivities 1P'!$B$10</f>
        <v>2879.9751420494727</v>
      </c>
      <c r="D74" s="27">
        <f>D34/6*D64*'Model Inputs'!$B$288*'Sensitivities 1P'!$B$10</f>
        <v>2937.5746448904624</v>
      </c>
      <c r="E74" s="27">
        <f>E34/6*E64*'Model Inputs'!$B$288*'Sensitivities 1P'!$B$10</f>
        <v>2996.3261377882709</v>
      </c>
      <c r="F74" s="27">
        <f>F34/6*F64*'Model Inputs'!$B$288*'Sensitivities 1P'!$B$10</f>
        <v>3056.2526605440362</v>
      </c>
      <c r="G74" s="27">
        <f>G34/6*G64*'Model Inputs'!$B$288*'Sensitivities 1P'!$B$10</f>
        <v>3117.3777137549173</v>
      </c>
      <c r="H74" s="27">
        <f>H34/6*H64*'Model Inputs'!$B$288*'Sensitivities 1P'!$B$10</f>
        <v>3179.7252680300153</v>
      </c>
      <c r="I74" s="27">
        <f>I34/6*I64*'Model Inputs'!$B$288*'Sensitivities 1P'!$B$10</f>
        <v>3243.3197733906163</v>
      </c>
      <c r="J74" s="27">
        <f>J34/6*J64*'Model Inputs'!$B$288*'Sensitivities 1P'!$B$10</f>
        <v>3308.1861688584281</v>
      </c>
      <c r="K74" s="27">
        <f>K34/6*K64*'Model Inputs'!$B$288*'Sensitivities 1P'!$B$10</f>
        <v>3374.3498922355971</v>
      </c>
      <c r="L74" s="27">
        <f>L34/6*L64*'Model Inputs'!$B$288*'Sensitivities 1P'!$B$10</f>
        <v>3441.8368900803093</v>
      </c>
      <c r="M74" s="27">
        <f>M34/6*M64*'Model Inputs'!$B$288*'Sensitivities 1P'!$B$10</f>
        <v>3510.6736278819153</v>
      </c>
      <c r="N74" s="27">
        <f>N34/6*N64*'Model Inputs'!$B$288*'Sensitivities 1P'!$B$10</f>
        <v>3580.8871004395537</v>
      </c>
      <c r="O74" s="27">
        <f>O34/6*O64*'Model Inputs'!$B$288*'Sensitivities 1P'!$B$10</f>
        <v>3652.5048424483448</v>
      </c>
      <c r="P74" s="27">
        <f>P34/6*P64*'Model Inputs'!$B$288*'Sensitivities 1P'!$B$10</f>
        <v>3725.5549392973112</v>
      </c>
      <c r="Q74" s="27">
        <f>Q34/6*Q64*'Model Inputs'!$B$288*'Sensitivities 1P'!$B$10</f>
        <v>3800.0660380832583</v>
      </c>
      <c r="R74" s="27">
        <f>R34/6*R64*'Model Inputs'!$B$288*'Sensitivities 1P'!$B$10</f>
        <v>3876.0673588449231</v>
      </c>
      <c r="S74" s="27">
        <f>S34/6*S64*'Model Inputs'!$B$288*'Sensitivities 1P'!$B$10</f>
        <v>3953.588706021822</v>
      </c>
      <c r="T74" s="27">
        <f>T34/6*T64*'Model Inputs'!$B$288*'Sensitivities 1P'!$B$10</f>
        <v>4032.6604801422591</v>
      </c>
      <c r="U74" s="27">
        <f>U34/6*U64*'Model Inputs'!$B$288*'Sensitivities 1P'!$B$10</f>
        <v>4113.3136897451041</v>
      </c>
      <c r="V74" s="27">
        <f>V34/6*V64*'Model Inputs'!$B$288*'Sensitivities 1P'!$B$10</f>
        <v>4195.5799635400053</v>
      </c>
      <c r="W74" s="27">
        <f>W34/6*W64*'Model Inputs'!$B$288*'Sensitivities 1P'!$B$10</f>
        <v>4279.4915628108065</v>
      </c>
      <c r="X74" s="27">
        <f>X34/6*X64*'Model Inputs'!$B$288*'Sensitivities 1P'!$B$10</f>
        <v>3140.3796430374246</v>
      </c>
      <c r="Y74" s="27">
        <f>Y34/6*Y64*'Model Inputs'!$B$288*'Sensitivities 1P'!$B$10</f>
        <v>0</v>
      </c>
      <c r="Z74" s="27">
        <f>Z34/6*Z64*'Model Inputs'!$B$288*'Sensitivities 1P'!$B$10</f>
        <v>0</v>
      </c>
      <c r="AA74" s="27">
        <f>AA34/6*AA64*'Model Inputs'!$B$288*'Sensitivities 1P'!$B$10</f>
        <v>0</v>
      </c>
      <c r="AB74" s="27">
        <f>AB34/6*AB64*'Model Inputs'!$B$288*'Sensitivities 1P'!$B$10</f>
        <v>0</v>
      </c>
      <c r="AC74" s="27">
        <f>AC34/6*AC64*'Model Inputs'!$B$288*'Sensitivities 1P'!$B$10</f>
        <v>0</v>
      </c>
      <c r="AD74" s="27">
        <f>AD34/6*AD64*'Model Inputs'!$B$288*'Sensitivities 1P'!$B$10</f>
        <v>0</v>
      </c>
      <c r="AE74" s="27">
        <f>AE34/6*AE64*'Model Inputs'!$B$288*'Sensitivities 1P'!$B$10</f>
        <v>0</v>
      </c>
      <c r="AF74" s="27">
        <f>AF34/6*AF64*'Model Inputs'!$B$288*'Sensitivities 1P'!$B$10</f>
        <v>0</v>
      </c>
      <c r="AG74" s="27">
        <f>AG34/6*AG64*'Model Inputs'!$B$288*'Sensitivities 1P'!$B$10</f>
        <v>0</v>
      </c>
      <c r="AH74" s="27">
        <f>AH34/6*AH64*'Model Inputs'!$B$288*'Sensitivities 1P'!$B$10</f>
        <v>0</v>
      </c>
      <c r="AI74" s="27">
        <f>AI34/6*AI64*'Model Inputs'!$B$288*'Sensitivities 1P'!$B$10</f>
        <v>0</v>
      </c>
      <c r="AJ74" s="27">
        <f>AJ34/6*AJ64*'Model Inputs'!$B$288*'Sensitivities 1P'!$B$10</f>
        <v>0</v>
      </c>
      <c r="AK74" s="27">
        <f>AK34/6*AK64*'Model Inputs'!$B$288*'Sensitivities 1P'!$B$10</f>
        <v>0</v>
      </c>
      <c r="AL74" s="27">
        <f>AL34/6*AL64*'Model Inputs'!$B$288*'Sensitivities 1P'!$B$10</f>
        <v>0</v>
      </c>
      <c r="AM74" s="27">
        <f>AM34/6*AM64*'Model Inputs'!$B$288*'Sensitivities 1P'!$B$10</f>
        <v>0</v>
      </c>
      <c r="AN74" s="27">
        <f>AN34/6*AN64*'Model Inputs'!$B$288*'Sensitivities 1P'!$B$10</f>
        <v>0</v>
      </c>
      <c r="AO74" s="27">
        <f>AO34/6*AO64*'Model Inputs'!$B$288*'Sensitivities 1P'!$B$10</f>
        <v>0</v>
      </c>
      <c r="AP74" s="27">
        <f>AP34/6*AP64*'Model Inputs'!$B$288*'Sensitivities 1P'!$B$10</f>
        <v>0</v>
      </c>
      <c r="AQ74" s="27">
        <f>AQ34/6*AQ64*'Model Inputs'!$B$288*'Sensitivities 1P'!$B$10</f>
        <v>0</v>
      </c>
      <c r="AR74" s="27">
        <f>AR34/6*AR64*'Model Inputs'!$B$288*'Sensitivities 1P'!$B$10</f>
        <v>0</v>
      </c>
      <c r="AS74" s="27">
        <f>AS34/6*AS64*'Model Inputs'!$B$288*'Sensitivities 1P'!$B$10</f>
        <v>0</v>
      </c>
      <c r="AT74" s="27">
        <f>AT34/6*AT64*'Model Inputs'!$B$288*'Sensitivities 1P'!$B$10</f>
        <v>0</v>
      </c>
      <c r="AU74" s="27">
        <f>AU34/6*AU64*'Model Inputs'!$B$288*'Sensitivities 1P'!$B$10</f>
        <v>0</v>
      </c>
      <c r="AV74" s="27">
        <f>AV34/6*AV64*'Model Inputs'!$B$288*'Sensitivities 1P'!$B$10</f>
        <v>0</v>
      </c>
      <c r="AW74" s="27">
        <f>AW34/6*AW64*'Model Inputs'!$B$288*'Sensitivities 1P'!$B$10</f>
        <v>0</v>
      </c>
      <c r="AX74" s="27">
        <f>AX34/6*AX64*'Model Inputs'!$B$288*'Sensitivities 1P'!$B$10</f>
        <v>0</v>
      </c>
      <c r="AY74" s="27">
        <f>AY34/6*AY64*'Model Inputs'!$B$288*'Sensitivities 1P'!$B$10</f>
        <v>0</v>
      </c>
      <c r="AZ74" s="27">
        <f>AZ34/6*AZ64*'Model Inputs'!$B$288*'Sensitivities 1P'!$B$10</f>
        <v>0</v>
      </c>
      <c r="BA74" s="27">
        <f>BA34/6*BA64*'Model Inputs'!$B$288*'Sensitivities 1P'!$B$10</f>
        <v>0</v>
      </c>
      <c r="BB74" s="27">
        <f>BB34/6*BB64*'Model Inputs'!$B$288*'Sensitivities 1P'!$B$10</f>
        <v>0</v>
      </c>
      <c r="BC74" s="27">
        <f>BC34/6*BC64*'Model Inputs'!$B$288*'Sensitivities 1P'!$B$10</f>
        <v>0</v>
      </c>
      <c r="BD74" s="27">
        <f>BD34/6*BD64*'Model Inputs'!$B$288*'Sensitivities 1P'!$B$10</f>
        <v>0</v>
      </c>
      <c r="BE74" s="27">
        <f>BE34/6*BE64*'Model Inputs'!$B$288*'Sensitivities 1P'!$B$10</f>
        <v>0</v>
      </c>
      <c r="BF74" s="27">
        <f>BF34/6*BF64*'Model Inputs'!$B$288*'Sensitivities 1P'!$B$10</f>
        <v>0</v>
      </c>
      <c r="BG74" s="27">
        <f>BG34/6*BG64*'Model Inputs'!$B$288*'Sensitivities 1P'!$B$10</f>
        <v>0</v>
      </c>
      <c r="BH74" s="27">
        <f>BH34/6*BH64*'Model Inputs'!$B$288*'Sensitivities 1P'!$B$10</f>
        <v>0</v>
      </c>
      <c r="BI74" s="27">
        <f>BI34/6*BI64*'Model Inputs'!$B$288*'Sensitivities 1P'!$B$10</f>
        <v>0</v>
      </c>
      <c r="BJ74" s="27">
        <f>BJ34/6*BJ64*'Model Inputs'!$B$288*'Sensitivities 1P'!$B$10</f>
        <v>0</v>
      </c>
      <c r="BK74" s="27">
        <f>BK34/6*BK64*'Model Inputs'!$B$288*'Sensitivities 1P'!$B$10</f>
        <v>0</v>
      </c>
      <c r="BL74" s="27">
        <f>BL34/6*BL64*'Model Inputs'!$B$288*'Sensitivities 1P'!$B$10</f>
        <v>0</v>
      </c>
      <c r="BM74" s="27">
        <f>BM34/6*BM64*'Model Inputs'!$B$288*'Sensitivities 1P'!$B$10</f>
        <v>0</v>
      </c>
      <c r="BN74" s="27">
        <f>BN34/6*BN64*'Model Inputs'!$B$288*'Sensitivities 1P'!$B$10</f>
        <v>0</v>
      </c>
      <c r="BO74" s="27">
        <f>BO34/6*BO64*'Model Inputs'!$B$288*'Sensitivities 1P'!$B$10</f>
        <v>0</v>
      </c>
    </row>
    <row r="75" spans="1:67" ht="15" customHeight="1" x14ac:dyDescent="0.2">
      <c r="A75" s="29" t="s">
        <v>224</v>
      </c>
      <c r="B75" s="69">
        <f t="shared" si="33"/>
        <v>472357.4317063418</v>
      </c>
      <c r="C75" s="69">
        <f t="shared" ref="C75:AH75" si="34">SUM(C67:C74)</f>
        <v>10405.462702035738</v>
      </c>
      <c r="D75" s="69">
        <f t="shared" si="34"/>
        <v>10613.571956076454</v>
      </c>
      <c r="E75" s="69">
        <f t="shared" si="34"/>
        <v>10825.843395197982</v>
      </c>
      <c r="F75" s="69">
        <f t="shared" si="34"/>
        <v>11042.360263101942</v>
      </c>
      <c r="G75" s="69">
        <f t="shared" si="34"/>
        <v>11263.20746836398</v>
      </c>
      <c r="H75" s="69">
        <f t="shared" si="34"/>
        <v>11488.47161773126</v>
      </c>
      <c r="I75" s="69">
        <f t="shared" si="34"/>
        <v>11718.241050085886</v>
      </c>
      <c r="J75" s="69">
        <f t="shared" si="34"/>
        <v>11952.605871087604</v>
      </c>
      <c r="K75" s="69">
        <f t="shared" si="34"/>
        <v>12191.657988509358</v>
      </c>
      <c r="L75" s="69">
        <f t="shared" si="34"/>
        <v>12435.491148279543</v>
      </c>
      <c r="M75" s="69">
        <f t="shared" si="34"/>
        <v>12684.200971245134</v>
      </c>
      <c r="N75" s="69">
        <f t="shared" si="34"/>
        <v>12937.884990670038</v>
      </c>
      <c r="O75" s="69">
        <f t="shared" si="34"/>
        <v>13196.642690483439</v>
      </c>
      <c r="P75" s="69">
        <f t="shared" si="34"/>
        <v>13460.575544293108</v>
      </c>
      <c r="Q75" s="69">
        <f t="shared" si="34"/>
        <v>13729.787055178969</v>
      </c>
      <c r="R75" s="69">
        <f t="shared" si="34"/>
        <v>14004.382796282549</v>
      </c>
      <c r="S75" s="69">
        <f t="shared" si="34"/>
        <v>14284.470452208203</v>
      </c>
      <c r="T75" s="69">
        <f t="shared" si="34"/>
        <v>14570.159861252367</v>
      </c>
      <c r="U75" s="69">
        <f t="shared" si="34"/>
        <v>14861.563058477415</v>
      </c>
      <c r="V75" s="69">
        <f t="shared" si="34"/>
        <v>15158.794319646961</v>
      </c>
      <c r="W75" s="69">
        <f t="shared" si="34"/>
        <v>15461.970206039905</v>
      </c>
      <c r="X75" s="69">
        <f t="shared" si="34"/>
        <v>13894.775537773468</v>
      </c>
      <c r="Y75" s="69">
        <f t="shared" si="34"/>
        <v>9264.8886724343665</v>
      </c>
      <c r="Z75" s="69">
        <f t="shared" si="34"/>
        <v>9450.1864458830569</v>
      </c>
      <c r="AA75" s="69">
        <f t="shared" si="34"/>
        <v>9639.1901748007149</v>
      </c>
      <c r="AB75" s="69">
        <f t="shared" si="34"/>
        <v>9831.9739782967299</v>
      </c>
      <c r="AC75" s="69">
        <f t="shared" si="34"/>
        <v>10028.613457862662</v>
      </c>
      <c r="AD75" s="69">
        <f t="shared" si="34"/>
        <v>10229.185727019918</v>
      </c>
      <c r="AE75" s="69">
        <f t="shared" si="34"/>
        <v>10433.769441560318</v>
      </c>
      <c r="AF75" s="69">
        <f t="shared" si="34"/>
        <v>10642.444830391523</v>
      </c>
      <c r="AG75" s="69">
        <f t="shared" si="34"/>
        <v>10855.293726999354</v>
      </c>
      <c r="AH75" s="69">
        <f t="shared" si="34"/>
        <v>11072.399601539342</v>
      </c>
      <c r="AI75" s="69">
        <f t="shared" ref="AI75:BN75" si="35">SUM(AI67:AI74)</f>
        <v>11293.847593570128</v>
      </c>
      <c r="AJ75" s="69">
        <f t="shared" si="35"/>
        <v>11519.724545441533</v>
      </c>
      <c r="AK75" s="69">
        <f t="shared" si="35"/>
        <v>11750.119036350363</v>
      </c>
      <c r="AL75" s="69">
        <f t="shared" si="35"/>
        <v>11985.121417077371</v>
      </c>
      <c r="AM75" s="69">
        <f t="shared" si="35"/>
        <v>12224.823845418916</v>
      </c>
      <c r="AN75" s="69">
        <f t="shared" si="35"/>
        <v>9339.9808275258856</v>
      </c>
      <c r="AO75" s="69">
        <f t="shared" si="35"/>
        <v>8758.2213011666081</v>
      </c>
      <c r="AP75" s="69">
        <f t="shared" si="35"/>
        <v>8933.3857271899415</v>
      </c>
      <c r="AQ75" s="68">
        <f t="shared" si="35"/>
        <v>2922.1404117918064</v>
      </c>
      <c r="AR75" s="68">
        <f t="shared" si="35"/>
        <v>0</v>
      </c>
      <c r="AS75" s="68">
        <f t="shared" si="35"/>
        <v>0</v>
      </c>
      <c r="AT75" s="68">
        <f t="shared" si="35"/>
        <v>0</v>
      </c>
      <c r="AU75" s="68">
        <f t="shared" si="35"/>
        <v>0</v>
      </c>
      <c r="AV75" s="68">
        <f t="shared" si="35"/>
        <v>0</v>
      </c>
      <c r="AW75" s="68">
        <f t="shared" si="35"/>
        <v>0</v>
      </c>
      <c r="AX75" s="68">
        <f t="shared" si="35"/>
        <v>0</v>
      </c>
      <c r="AY75" s="68">
        <f t="shared" si="35"/>
        <v>0</v>
      </c>
      <c r="AZ75" s="68">
        <f t="shared" si="35"/>
        <v>0</v>
      </c>
      <c r="BA75" s="68">
        <f t="shared" si="35"/>
        <v>0</v>
      </c>
      <c r="BB75" s="68">
        <f t="shared" si="35"/>
        <v>0</v>
      </c>
      <c r="BC75" s="68">
        <f t="shared" si="35"/>
        <v>0</v>
      </c>
      <c r="BD75" s="68">
        <f t="shared" si="35"/>
        <v>0</v>
      </c>
      <c r="BE75" s="68">
        <f t="shared" si="35"/>
        <v>0</v>
      </c>
      <c r="BF75" s="68">
        <f t="shared" si="35"/>
        <v>0</v>
      </c>
      <c r="BG75" s="68">
        <f t="shared" si="35"/>
        <v>0</v>
      </c>
      <c r="BH75" s="68">
        <f t="shared" si="35"/>
        <v>0</v>
      </c>
      <c r="BI75" s="68">
        <f t="shared" si="35"/>
        <v>0</v>
      </c>
      <c r="BJ75" s="68">
        <f t="shared" si="35"/>
        <v>0</v>
      </c>
      <c r="BK75" s="68">
        <f t="shared" si="35"/>
        <v>0</v>
      </c>
      <c r="BL75" s="68">
        <f t="shared" si="35"/>
        <v>0</v>
      </c>
      <c r="BM75" s="68">
        <f t="shared" si="35"/>
        <v>0</v>
      </c>
      <c r="BN75" s="68">
        <f t="shared" si="35"/>
        <v>0</v>
      </c>
      <c r="BO75" s="68">
        <f t="shared" ref="BO75" si="36">SUM(BO67:BO74)</f>
        <v>0</v>
      </c>
    </row>
    <row r="77" spans="1:67" ht="15" customHeight="1" x14ac:dyDescent="0.2">
      <c r="A77" s="29" t="s">
        <v>225</v>
      </c>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row>
    <row r="78" spans="1:67" ht="15" customHeight="1" x14ac:dyDescent="0.2">
      <c r="A78" s="29" t="s">
        <v>226</v>
      </c>
      <c r="B78" s="66">
        <f t="shared" ref="B78:B85" si="37">SUM(C78:BO78)</f>
        <v>778567.95501697366</v>
      </c>
      <c r="C78" s="66">
        <f t="shared" ref="C78:AH78" si="38">C48-C61-C75</f>
        <v>14790.145929470158</v>
      </c>
      <c r="D78" s="68">
        <f t="shared" si="38"/>
        <v>14656.227207909693</v>
      </c>
      <c r="E78" s="68">
        <f t="shared" si="38"/>
        <v>14668.914052544536</v>
      </c>
      <c r="F78" s="68">
        <f t="shared" si="38"/>
        <v>14401.645862170837</v>
      </c>
      <c r="G78" s="68">
        <f t="shared" si="38"/>
        <v>14727.884736388034</v>
      </c>
      <c r="H78" s="68">
        <f t="shared" si="38"/>
        <v>15056.970549477226</v>
      </c>
      <c r="I78" s="68">
        <f t="shared" si="38"/>
        <v>15392.638078828193</v>
      </c>
      <c r="J78" s="68">
        <f t="shared" si="38"/>
        <v>15735.018958766186</v>
      </c>
      <c r="K78" s="68">
        <f t="shared" si="38"/>
        <v>16084.247456302934</v>
      </c>
      <c r="L78" s="68">
        <f t="shared" si="38"/>
        <v>16440.460523790418</v>
      </c>
      <c r="M78" s="68">
        <f t="shared" si="38"/>
        <v>16803.797852627649</v>
      </c>
      <c r="N78" s="68">
        <f t="shared" si="38"/>
        <v>17174.401928041629</v>
      </c>
      <c r="O78" s="68">
        <f t="shared" si="38"/>
        <v>17552.418084963894</v>
      </c>
      <c r="P78" s="68">
        <f t="shared" si="38"/>
        <v>17937.99456502459</v>
      </c>
      <c r="Q78" s="68">
        <f t="shared" si="38"/>
        <v>18331.282574686513</v>
      </c>
      <c r="R78" s="68">
        <f t="shared" si="38"/>
        <v>18732.436344541664</v>
      </c>
      <c r="S78" s="68">
        <f t="shared" si="38"/>
        <v>19141.613189793919</v>
      </c>
      <c r="T78" s="68">
        <f t="shared" si="38"/>
        <v>19558.973571951225</v>
      </c>
      <c r="U78" s="68">
        <f t="shared" si="38"/>
        <v>19984.681161751669</v>
      </c>
      <c r="V78" s="68">
        <f t="shared" si="38"/>
        <v>20418.902903348138</v>
      </c>
      <c r="W78" s="68">
        <f t="shared" si="38"/>
        <v>20861.809079776525</v>
      </c>
      <c r="X78" s="68">
        <f t="shared" si="38"/>
        <v>20522.002526926419</v>
      </c>
      <c r="Y78" s="68">
        <f t="shared" si="38"/>
        <v>18893.790365059751</v>
      </c>
      <c r="Z78" s="68">
        <f t="shared" si="38"/>
        <v>19303.354473381976</v>
      </c>
      <c r="AA78" s="68">
        <f t="shared" si="38"/>
        <v>19721.10986387065</v>
      </c>
      <c r="AB78" s="68">
        <f t="shared" si="38"/>
        <v>20147.220362169093</v>
      </c>
      <c r="AC78" s="68">
        <f t="shared" si="38"/>
        <v>20581.853070433503</v>
      </c>
      <c r="AD78" s="68">
        <f t="shared" si="38"/>
        <v>21025.178432863198</v>
      </c>
      <c r="AE78" s="68">
        <f t="shared" si="38"/>
        <v>21477.370302541498</v>
      </c>
      <c r="AF78" s="68">
        <f t="shared" si="38"/>
        <v>21938.606009613348</v>
      </c>
      <c r="AG78" s="68">
        <f t="shared" si="38"/>
        <v>22409.066430826657</v>
      </c>
      <c r="AH78" s="68">
        <f t="shared" si="38"/>
        <v>22888.936060464221</v>
      </c>
      <c r="AI78" s="68">
        <f t="shared" ref="AI78:BO78" si="39">AI48-AI61-AI75</f>
        <v>23378.403082694538</v>
      </c>
      <c r="AJ78" s="68">
        <f t="shared" si="39"/>
        <v>23877.659445369449</v>
      </c>
      <c r="AK78" s="68">
        <f t="shared" si="39"/>
        <v>24386.900935297868</v>
      </c>
      <c r="AL78" s="68">
        <f t="shared" si="39"/>
        <v>24906.327255024855</v>
      </c>
      <c r="AM78" s="68">
        <f t="shared" si="39"/>
        <v>25436.142101146379</v>
      </c>
      <c r="AN78" s="68">
        <f t="shared" si="39"/>
        <v>21156.437810563686</v>
      </c>
      <c r="AO78" s="68">
        <f t="shared" si="39"/>
        <v>20410.939273629985</v>
      </c>
      <c r="AP78" s="68">
        <f t="shared" si="39"/>
        <v>20834.340893477674</v>
      </c>
      <c r="AQ78" s="68">
        <f t="shared" si="39"/>
        <v>6819.8517094632371</v>
      </c>
      <c r="AR78" s="68">
        <f t="shared" si="39"/>
        <v>0</v>
      </c>
      <c r="AS78" s="68">
        <f t="shared" si="39"/>
        <v>0</v>
      </c>
      <c r="AT78" s="68">
        <f t="shared" si="39"/>
        <v>0</v>
      </c>
      <c r="AU78" s="68">
        <f t="shared" si="39"/>
        <v>0</v>
      </c>
      <c r="AV78" s="68">
        <f t="shared" si="39"/>
        <v>0</v>
      </c>
      <c r="AW78" s="68">
        <f t="shared" si="39"/>
        <v>0</v>
      </c>
      <c r="AX78" s="68">
        <f t="shared" si="39"/>
        <v>0</v>
      </c>
      <c r="AY78" s="68">
        <f t="shared" si="39"/>
        <v>0</v>
      </c>
      <c r="AZ78" s="68">
        <f t="shared" si="39"/>
        <v>0</v>
      </c>
      <c r="BA78" s="68">
        <f t="shared" si="39"/>
        <v>0</v>
      </c>
      <c r="BB78" s="68">
        <f t="shared" si="39"/>
        <v>0</v>
      </c>
      <c r="BC78" s="68">
        <f t="shared" si="39"/>
        <v>0</v>
      </c>
      <c r="BD78" s="68">
        <f t="shared" si="39"/>
        <v>0</v>
      </c>
      <c r="BE78" s="68">
        <f t="shared" si="39"/>
        <v>0</v>
      </c>
      <c r="BF78" s="68">
        <f t="shared" si="39"/>
        <v>0</v>
      </c>
      <c r="BG78" s="68">
        <f t="shared" si="39"/>
        <v>0</v>
      </c>
      <c r="BH78" s="68">
        <f t="shared" si="39"/>
        <v>0</v>
      </c>
      <c r="BI78" s="68">
        <f t="shared" si="39"/>
        <v>0</v>
      </c>
      <c r="BJ78" s="68">
        <f t="shared" si="39"/>
        <v>0</v>
      </c>
      <c r="BK78" s="68">
        <f t="shared" si="39"/>
        <v>0</v>
      </c>
      <c r="BL78" s="68">
        <f t="shared" si="39"/>
        <v>0</v>
      </c>
      <c r="BM78" s="68">
        <f t="shared" si="39"/>
        <v>0</v>
      </c>
      <c r="BN78" s="68">
        <f t="shared" si="39"/>
        <v>0</v>
      </c>
      <c r="BO78" s="68">
        <f t="shared" si="39"/>
        <v>0</v>
      </c>
    </row>
    <row r="79" spans="1:67" ht="15" customHeight="1" x14ac:dyDescent="0.2">
      <c r="A79" s="14" t="s">
        <v>227</v>
      </c>
      <c r="B79" s="68">
        <f t="shared" si="37"/>
        <v>106074.99999999996</v>
      </c>
      <c r="C79" s="27">
        <f>'Model Inputs'!B84*'Sensitivities 1P'!$B$11</f>
        <v>4980</v>
      </c>
      <c r="D79" s="27">
        <f>'Model Inputs'!C84*'Sensitivities 1P'!$B$11</f>
        <v>5300</v>
      </c>
      <c r="E79" s="27">
        <f>'Model Inputs'!D84*'Sensitivities 1P'!$B$11</f>
        <v>5392</v>
      </c>
      <c r="F79" s="27">
        <f>'Model Inputs'!E84*'Sensitivities 1P'!$B$11</f>
        <v>5932</v>
      </c>
      <c r="G79" s="27">
        <f>'Model Inputs'!F84*'Sensitivities 1P'!$B$11</f>
        <v>5457</v>
      </c>
      <c r="H79" s="27">
        <f>'Model Inputs'!$G$84*H35/SUM($H$35:$BO$35)*'Sensitivities 1P'!$B$11</f>
        <v>2940.4003334437725</v>
      </c>
      <c r="I79" s="27">
        <f>'Model Inputs'!$G$84*I35/SUM($H$35:$BO$35)*'Sensitivities 1P'!$B$11</f>
        <v>2940.4003334437725</v>
      </c>
      <c r="J79" s="27">
        <f>'Model Inputs'!$G$84*J35/SUM($H$35:$BO$35)*'Sensitivities 1P'!$B$11</f>
        <v>2940.4003334437725</v>
      </c>
      <c r="K79" s="27">
        <f>'Model Inputs'!$G$84*K35/SUM($H$35:$BO$35)*'Sensitivities 1P'!$B$11</f>
        <v>2940.4003334437725</v>
      </c>
      <c r="L79" s="27">
        <f>'Model Inputs'!$G$84*L35/SUM($H$35:$BO$35)*'Sensitivities 1P'!$B$11</f>
        <v>2940.4003334437725</v>
      </c>
      <c r="M79" s="27">
        <f>'Model Inputs'!$G$84*M35/SUM($H$35:$BO$35)*'Sensitivities 1P'!$B$11</f>
        <v>2940.4003334437725</v>
      </c>
      <c r="N79" s="27">
        <f>'Model Inputs'!$G$84*N35/SUM($H$35:$BO$35)*'Sensitivities 1P'!$B$11</f>
        <v>2940.4003334437725</v>
      </c>
      <c r="O79" s="27">
        <f>'Model Inputs'!$G$84*O35/SUM($H$35:$BO$35)*'Sensitivities 1P'!$B$11</f>
        <v>2940.4003334437725</v>
      </c>
      <c r="P79" s="27">
        <f>'Model Inputs'!$G$84*P35/SUM($H$35:$BO$35)*'Sensitivities 1P'!$B$11</f>
        <v>2940.4003334437725</v>
      </c>
      <c r="Q79" s="27">
        <f>'Model Inputs'!$G$84*Q35/SUM($H$35:$BO$35)*'Sensitivities 1P'!$B$11</f>
        <v>2940.4003334437725</v>
      </c>
      <c r="R79" s="27">
        <f>'Model Inputs'!$G$84*R35/SUM($H$35:$BO$35)*'Sensitivities 1P'!$B$11</f>
        <v>2940.4003334437725</v>
      </c>
      <c r="S79" s="27">
        <f>'Model Inputs'!$G$84*S35/SUM($H$35:$BO$35)*'Sensitivities 1P'!$B$11</f>
        <v>2940.4003334437725</v>
      </c>
      <c r="T79" s="27">
        <f>'Model Inputs'!$G$84*T35/SUM($H$35:$BO$35)*'Sensitivities 1P'!$B$11</f>
        <v>2940.4003334437725</v>
      </c>
      <c r="U79" s="27">
        <f>'Model Inputs'!$G$84*U35/SUM($H$35:$BO$35)*'Sensitivities 1P'!$B$11</f>
        <v>2940.4003334437725</v>
      </c>
      <c r="V79" s="27">
        <f>'Model Inputs'!$G$84*V35/SUM($H$35:$BO$35)*'Sensitivities 1P'!$B$11</f>
        <v>2940.4003334437725</v>
      </c>
      <c r="W79" s="27">
        <f>'Model Inputs'!$G$84*W35/SUM($H$35:$BO$35)*'Sensitivities 1P'!$B$11</f>
        <v>2940.4003334437725</v>
      </c>
      <c r="X79" s="27">
        <f>'Model Inputs'!$G$84*X35/SUM($H$35:$BO$35)*'Sensitivities 1P'!$B$11</f>
        <v>2590.5560596996697</v>
      </c>
      <c r="Y79" s="27">
        <f>'Model Inputs'!$G$84*Y35/SUM($H$35:$BO$35)*'Sensitivities 1P'!$B$11</f>
        <v>1693.4855406320112</v>
      </c>
      <c r="Z79" s="27">
        <f>'Model Inputs'!$G$84*Z35/SUM($H$35:$BO$35)*'Sensitivities 1P'!$B$11</f>
        <v>1693.4855406320112</v>
      </c>
      <c r="AA79" s="27">
        <f>'Model Inputs'!$G$84*AA35/SUM($H$35:$BO$35)*'Sensitivities 1P'!$B$11</f>
        <v>1693.4855406320112</v>
      </c>
      <c r="AB79" s="27">
        <f>'Model Inputs'!$G$84*AB35/SUM($H$35:$BO$35)*'Sensitivities 1P'!$B$11</f>
        <v>1693.4855406320112</v>
      </c>
      <c r="AC79" s="27">
        <f>'Model Inputs'!$G$84*AC35/SUM($H$35:$BO$35)*'Sensitivities 1P'!$B$11</f>
        <v>1693.4855406320112</v>
      </c>
      <c r="AD79" s="27">
        <f>'Model Inputs'!$G$84*AD35/SUM($H$35:$BO$35)*'Sensitivities 1P'!$B$11</f>
        <v>1693.4855406320112</v>
      </c>
      <c r="AE79" s="27">
        <f>'Model Inputs'!$G$84*AE35/SUM($H$35:$BO$35)*'Sensitivities 1P'!$B$11</f>
        <v>1693.4855406320112</v>
      </c>
      <c r="AF79" s="27">
        <f>'Model Inputs'!$G$84*AF35/SUM($H$35:$BO$35)*'Sensitivities 1P'!$B$11</f>
        <v>1693.4855406320112</v>
      </c>
      <c r="AG79" s="27">
        <f>'Model Inputs'!$G$84*AG35/SUM($H$35:$BO$35)*'Sensitivities 1P'!$B$11</f>
        <v>1693.4855406320112</v>
      </c>
      <c r="AH79" s="27">
        <f>'Model Inputs'!$G$84*AH35/SUM($H$35:$BO$35)*'Sensitivities 1P'!$B$11</f>
        <v>1693.4855406320112</v>
      </c>
      <c r="AI79" s="27">
        <f>'Model Inputs'!$G$84*AI35/SUM($H$35:$BO$35)*'Sensitivities 1P'!$B$11</f>
        <v>1693.4855406320112</v>
      </c>
      <c r="AJ79" s="27">
        <f>'Model Inputs'!$G$84*AJ35/SUM($H$35:$BO$35)*'Sensitivities 1P'!$B$11</f>
        <v>1693.4855406320112</v>
      </c>
      <c r="AK79" s="27">
        <f>'Model Inputs'!$G$84*AK35/SUM($H$35:$BO$35)*'Sensitivities 1P'!$B$11</f>
        <v>1693.4855406320112</v>
      </c>
      <c r="AL79" s="27">
        <f>'Model Inputs'!$G$84*AL35/SUM($H$35:$BO$35)*'Sensitivities 1P'!$B$11</f>
        <v>1693.4855406320112</v>
      </c>
      <c r="AM79" s="27">
        <f>'Model Inputs'!$G$84*AM35/SUM($H$35:$BO$35)*'Sensitivities 1P'!$B$11</f>
        <v>1693.4855406320112</v>
      </c>
      <c r="AN79" s="27">
        <f>'Model Inputs'!$G$84*AN35/SUM($H$35:$BO$35)*'Sensitivities 1P'!$B$11</f>
        <v>1268.483130782477</v>
      </c>
      <c r="AO79" s="27">
        <f>'Model Inputs'!$G$84*AO35/SUM($H$35:$BO$35)*'Sensitivities 1P'!$B$11</f>
        <v>1166.1501009081617</v>
      </c>
      <c r="AP79" s="27">
        <f>'Model Inputs'!$G$84*AP35/SUM($H$35:$BO$35)*'Sensitivities 1P'!$B$11</f>
        <v>1166.1501009081617</v>
      </c>
      <c r="AQ79" s="27">
        <f>'Model Inputs'!$G$84*AQ35/SUM($H$35:$BO$35)*'Sensitivities 1P'!$B$11</f>
        <v>373.97216312094645</v>
      </c>
      <c r="AR79" s="27">
        <f>'Model Inputs'!$G$84*AR35/SUM($H$35:$BO$35)*'Sensitivities 1P'!$B$11</f>
        <v>0</v>
      </c>
      <c r="AS79" s="27">
        <f>'Model Inputs'!$G$84*AS35/SUM($H$35:$BO$35)*'Sensitivities 1P'!$B$11</f>
        <v>0</v>
      </c>
      <c r="AT79" s="27">
        <f>'Model Inputs'!$G$84*AT35/SUM($H$35:$BO$35)*'Sensitivities 1P'!$B$11</f>
        <v>0</v>
      </c>
      <c r="AU79" s="27">
        <f>'Model Inputs'!$G$84*AU35/SUM($H$35:$BO$35)*'Sensitivities 1P'!$B$11</f>
        <v>0</v>
      </c>
      <c r="AV79" s="27">
        <f>'Model Inputs'!$G$84*AV35/SUM($H$35:$BO$35)*'Sensitivities 1P'!$B$11</f>
        <v>0</v>
      </c>
      <c r="AW79" s="27">
        <f>'Model Inputs'!$G$84*AW35/SUM($H$35:$BO$35)*'Sensitivities 1P'!$B$11</f>
        <v>0</v>
      </c>
      <c r="AX79" s="27">
        <f>'Model Inputs'!$G$84*AX35/SUM($H$35:$BO$35)*'Sensitivities 1P'!$B$11</f>
        <v>0</v>
      </c>
      <c r="AY79" s="27">
        <f>'Model Inputs'!$G$84*AY35/SUM($H$35:$BO$35)*'Sensitivities 1P'!$B$11</f>
        <v>0</v>
      </c>
      <c r="AZ79" s="27">
        <f>'Model Inputs'!$G$84*AZ35/SUM($H$35:$BO$35)*'Sensitivities 1P'!$B$11</f>
        <v>0</v>
      </c>
      <c r="BA79" s="27">
        <f>'Model Inputs'!$G$84*BA35/SUM($H$35:$BO$35)*'Sensitivities 1P'!$B$11</f>
        <v>0</v>
      </c>
      <c r="BB79" s="27">
        <f>'Model Inputs'!$G$84*BB35/SUM($H$35:$BO$35)*'Sensitivities 1P'!$B$11</f>
        <v>0</v>
      </c>
      <c r="BC79" s="27">
        <f>'Model Inputs'!$G$84*BC35/SUM($H$35:$BO$35)*'Sensitivities 1P'!$B$11</f>
        <v>0</v>
      </c>
      <c r="BD79" s="27">
        <f>'Model Inputs'!$G$84*BD35/SUM($H$35:$BO$35)*'Sensitivities 1P'!$B$11</f>
        <v>0</v>
      </c>
      <c r="BE79" s="27">
        <f>'Model Inputs'!$G$84*BE35/SUM($H$35:$BO$35)*'Sensitivities 1P'!$B$11</f>
        <v>0</v>
      </c>
      <c r="BF79" s="27">
        <f>'Model Inputs'!$G$84*BF35/SUM($H$35:$BO$35)*'Sensitivities 1P'!$B$11</f>
        <v>0</v>
      </c>
      <c r="BG79" s="27">
        <f>'Model Inputs'!$G$84*BG35/SUM($H$35:$BO$35)*'Sensitivities 1P'!$B$11</f>
        <v>0</v>
      </c>
      <c r="BH79" s="27">
        <f>'Model Inputs'!$G$84*BH35/SUM($H$35:$BO$35)*'Sensitivities 1P'!$B$11</f>
        <v>0</v>
      </c>
      <c r="BI79" s="27">
        <f>'Model Inputs'!$G$84*BI35/SUM($H$35:$BO$35)*'Sensitivities 1P'!$B$11</f>
        <v>0</v>
      </c>
      <c r="BJ79" s="27">
        <f>'Model Inputs'!$G$84*BJ35/SUM($H$35:$BO$35)*'Sensitivities 1P'!$B$11</f>
        <v>0</v>
      </c>
      <c r="BK79" s="27">
        <f>'Model Inputs'!$G$84*BK35/SUM($H$35:$BO$35)*'Sensitivities 1P'!$B$11</f>
        <v>0</v>
      </c>
      <c r="BL79" s="27">
        <f>'Model Inputs'!$G$84*BL35/SUM($H$35:$BO$35)*'Sensitivities 1P'!$B$11</f>
        <v>0</v>
      </c>
      <c r="BM79" s="27">
        <f>'Model Inputs'!$G$84*BM35/SUM($H$35:$BO$35)*'Sensitivities 1P'!$B$11</f>
        <v>0</v>
      </c>
      <c r="BN79" s="27">
        <f>'Model Inputs'!$G$84*BN35/SUM($H$35:$BO$35)*'Sensitivities 1P'!$B$11</f>
        <v>0</v>
      </c>
      <c r="BO79" s="27">
        <f>'Model Inputs'!$G$84*BO35/SUM($H$35:$BO$35)*'Sensitivities 1P'!$B$11</f>
        <v>0</v>
      </c>
    </row>
    <row r="80" spans="1:67" ht="15" customHeight="1" x14ac:dyDescent="0.2">
      <c r="A80" s="14" t="s">
        <v>228</v>
      </c>
      <c r="B80" s="68">
        <f t="shared" si="37"/>
        <v>23868.999999999993</v>
      </c>
      <c r="C80" s="73">
        <f t="shared" ref="C80:AH80" si="40">C121</f>
        <v>475</v>
      </c>
      <c r="D80" s="73">
        <f t="shared" si="40"/>
        <v>477.74533341713277</v>
      </c>
      <c r="E80" s="73">
        <f t="shared" si="40"/>
        <v>480.54557350260825</v>
      </c>
      <c r="F80" s="73">
        <f t="shared" si="40"/>
        <v>483.40181838979322</v>
      </c>
      <c r="G80" s="73">
        <f t="shared" si="40"/>
        <v>486.31518817472187</v>
      </c>
      <c r="H80" s="73">
        <f t="shared" si="40"/>
        <v>489.28682535534909</v>
      </c>
      <c r="I80" s="73">
        <f t="shared" si="40"/>
        <v>492.31789527958892</v>
      </c>
      <c r="J80" s="73">
        <f t="shared" si="40"/>
        <v>495.40958660231342</v>
      </c>
      <c r="K80" s="73">
        <f t="shared" si="40"/>
        <v>498.56311175149256</v>
      </c>
      <c r="L80" s="73">
        <f t="shared" si="40"/>
        <v>501.77970740365515</v>
      </c>
      <c r="M80" s="73">
        <f t="shared" si="40"/>
        <v>505.06063496886111</v>
      </c>
      <c r="N80" s="73">
        <f t="shared" si="40"/>
        <v>794.81462363281969</v>
      </c>
      <c r="O80" s="73">
        <f t="shared" si="40"/>
        <v>798.22810067165994</v>
      </c>
      <c r="P80" s="73">
        <f t="shared" si="40"/>
        <v>801.70984725127698</v>
      </c>
      <c r="Q80" s="73">
        <f t="shared" si="40"/>
        <v>805.26122876248633</v>
      </c>
      <c r="R80" s="73">
        <f t="shared" si="40"/>
        <v>808.88363790391986</v>
      </c>
      <c r="S80" s="73">
        <f t="shared" si="40"/>
        <v>812.57849522818208</v>
      </c>
      <c r="T80" s="73">
        <f t="shared" si="40"/>
        <v>816.34724969892955</v>
      </c>
      <c r="U80" s="73">
        <f t="shared" si="40"/>
        <v>820.19137925909195</v>
      </c>
      <c r="V80" s="73">
        <f t="shared" si="40"/>
        <v>888.20995383830461</v>
      </c>
      <c r="W80" s="73">
        <f t="shared" si="40"/>
        <v>892.20938623269774</v>
      </c>
      <c r="X80" s="73">
        <f t="shared" si="40"/>
        <v>1006.5185288512465</v>
      </c>
      <c r="Y80" s="73">
        <f t="shared" si="40"/>
        <v>512.0606131474749</v>
      </c>
      <c r="Z80" s="73">
        <f t="shared" si="40"/>
        <v>512.0606131474749</v>
      </c>
      <c r="AA80" s="73">
        <f t="shared" si="40"/>
        <v>512.0606131474749</v>
      </c>
      <c r="AB80" s="73">
        <f t="shared" si="40"/>
        <v>512.0606131474749</v>
      </c>
      <c r="AC80" s="73">
        <f t="shared" si="40"/>
        <v>512.0606131474749</v>
      </c>
      <c r="AD80" s="73">
        <f t="shared" si="40"/>
        <v>512.0606131474749</v>
      </c>
      <c r="AE80" s="73">
        <f t="shared" si="40"/>
        <v>512.0606131474749</v>
      </c>
      <c r="AF80" s="73">
        <f t="shared" si="40"/>
        <v>512.0606131474749</v>
      </c>
      <c r="AG80" s="73">
        <f t="shared" si="40"/>
        <v>512.0606131474749</v>
      </c>
      <c r="AH80" s="73">
        <f t="shared" si="40"/>
        <v>512.0606131474749</v>
      </c>
      <c r="AI80" s="73">
        <f t="shared" ref="AI80:BO80" si="41">AI121</f>
        <v>512.0606131474749</v>
      </c>
      <c r="AJ80" s="73">
        <f t="shared" si="41"/>
        <v>512.0606131474749</v>
      </c>
      <c r="AK80" s="73">
        <f t="shared" si="41"/>
        <v>512.0606131474749</v>
      </c>
      <c r="AL80" s="73">
        <f t="shared" si="41"/>
        <v>512.0606131474749</v>
      </c>
      <c r="AM80" s="73">
        <f t="shared" si="41"/>
        <v>512.0606131474749</v>
      </c>
      <c r="AN80" s="73">
        <f t="shared" si="41"/>
        <v>512.0606131474749</v>
      </c>
      <c r="AO80" s="73">
        <f t="shared" si="41"/>
        <v>348.55069448809002</v>
      </c>
      <c r="AP80" s="73">
        <f t="shared" si="41"/>
        <v>348.55069448809002</v>
      </c>
      <c r="AQ80" s="27">
        <f t="shared" si="41"/>
        <v>348.55069448809002</v>
      </c>
      <c r="AR80" s="27">
        <f t="shared" si="41"/>
        <v>0</v>
      </c>
      <c r="AS80" s="27">
        <f t="shared" si="41"/>
        <v>0</v>
      </c>
      <c r="AT80" s="27">
        <f t="shared" si="41"/>
        <v>0</v>
      </c>
      <c r="AU80" s="27">
        <f t="shared" si="41"/>
        <v>0</v>
      </c>
      <c r="AV80" s="27">
        <f t="shared" si="41"/>
        <v>0</v>
      </c>
      <c r="AW80" s="27">
        <f t="shared" si="41"/>
        <v>0</v>
      </c>
      <c r="AX80" s="27">
        <f t="shared" si="41"/>
        <v>0</v>
      </c>
      <c r="AY80" s="27">
        <f t="shared" si="41"/>
        <v>0</v>
      </c>
      <c r="AZ80" s="27">
        <f t="shared" si="41"/>
        <v>0</v>
      </c>
      <c r="BA80" s="27">
        <f t="shared" si="41"/>
        <v>0</v>
      </c>
      <c r="BB80" s="27">
        <f t="shared" si="41"/>
        <v>0</v>
      </c>
      <c r="BC80" s="27">
        <f t="shared" si="41"/>
        <v>0</v>
      </c>
      <c r="BD80" s="27">
        <f t="shared" si="41"/>
        <v>0</v>
      </c>
      <c r="BE80" s="27">
        <f t="shared" si="41"/>
        <v>0</v>
      </c>
      <c r="BF80" s="27">
        <f t="shared" si="41"/>
        <v>0</v>
      </c>
      <c r="BG80" s="27">
        <f t="shared" si="41"/>
        <v>0</v>
      </c>
      <c r="BH80" s="27">
        <f t="shared" si="41"/>
        <v>0</v>
      </c>
      <c r="BI80" s="27">
        <f t="shared" si="41"/>
        <v>0</v>
      </c>
      <c r="BJ80" s="27">
        <f t="shared" si="41"/>
        <v>0</v>
      </c>
      <c r="BK80" s="27">
        <f t="shared" si="41"/>
        <v>0</v>
      </c>
      <c r="BL80" s="27">
        <f t="shared" si="41"/>
        <v>0</v>
      </c>
      <c r="BM80" s="27">
        <f t="shared" si="41"/>
        <v>0</v>
      </c>
      <c r="BN80" s="27">
        <f t="shared" si="41"/>
        <v>0</v>
      </c>
      <c r="BO80" s="27">
        <f t="shared" si="41"/>
        <v>0</v>
      </c>
    </row>
    <row r="81" spans="1:67" ht="15" customHeight="1" x14ac:dyDescent="0.2">
      <c r="A81" s="29" t="s">
        <v>229</v>
      </c>
      <c r="B81" s="69">
        <f t="shared" si="37"/>
        <v>648623.95501697366</v>
      </c>
      <c r="C81" s="69">
        <f t="shared" ref="C81:AH81" si="42">C78-C79-C80</f>
        <v>9335.1459294701581</v>
      </c>
      <c r="D81" s="69">
        <f t="shared" si="42"/>
        <v>8878.4818744925597</v>
      </c>
      <c r="E81" s="69">
        <f t="shared" si="42"/>
        <v>8796.3684790419284</v>
      </c>
      <c r="F81" s="69">
        <f t="shared" si="42"/>
        <v>7986.2440437810437</v>
      </c>
      <c r="G81" s="69">
        <f t="shared" si="42"/>
        <v>8784.5695482133124</v>
      </c>
      <c r="H81" s="69">
        <f t="shared" si="42"/>
        <v>11627.283390678103</v>
      </c>
      <c r="I81" s="69">
        <f t="shared" si="42"/>
        <v>11959.91985010483</v>
      </c>
      <c r="J81" s="69">
        <f t="shared" si="42"/>
        <v>12299.209038720101</v>
      </c>
      <c r="K81" s="69">
        <f t="shared" si="42"/>
        <v>12645.284011107668</v>
      </c>
      <c r="L81" s="69">
        <f t="shared" si="42"/>
        <v>12998.28048294299</v>
      </c>
      <c r="M81" s="69">
        <f t="shared" si="42"/>
        <v>13358.336884215016</v>
      </c>
      <c r="N81" s="69">
        <f t="shared" si="42"/>
        <v>13439.186970965036</v>
      </c>
      <c r="O81" s="69">
        <f t="shared" si="42"/>
        <v>13813.789650848461</v>
      </c>
      <c r="P81" s="69">
        <f t="shared" si="42"/>
        <v>14195.88438432954</v>
      </c>
      <c r="Q81" s="69">
        <f t="shared" si="42"/>
        <v>14585.621012480253</v>
      </c>
      <c r="R81" s="69">
        <f t="shared" si="42"/>
        <v>14983.152373193971</v>
      </c>
      <c r="S81" s="69">
        <f t="shared" si="42"/>
        <v>15388.634361121964</v>
      </c>
      <c r="T81" s="69">
        <f t="shared" si="42"/>
        <v>15802.225988808523</v>
      </c>
      <c r="U81" s="69">
        <f t="shared" si="42"/>
        <v>16224.089449048804</v>
      </c>
      <c r="V81" s="69">
        <f t="shared" si="42"/>
        <v>16590.292616066061</v>
      </c>
      <c r="W81" s="69">
        <f t="shared" si="42"/>
        <v>17029.199360100054</v>
      </c>
      <c r="X81" s="69">
        <f t="shared" si="42"/>
        <v>16924.927938375502</v>
      </c>
      <c r="Y81" s="69">
        <f t="shared" si="42"/>
        <v>16688.244211280264</v>
      </c>
      <c r="Z81" s="69">
        <f t="shared" si="42"/>
        <v>17097.808319602493</v>
      </c>
      <c r="AA81" s="69">
        <f t="shared" si="42"/>
        <v>17515.563710091166</v>
      </c>
      <c r="AB81" s="69">
        <f t="shared" si="42"/>
        <v>17941.674208389606</v>
      </c>
      <c r="AC81" s="69">
        <f t="shared" si="42"/>
        <v>18376.306916654019</v>
      </c>
      <c r="AD81" s="69">
        <f t="shared" si="42"/>
        <v>18819.632279083711</v>
      </c>
      <c r="AE81" s="69">
        <f t="shared" si="42"/>
        <v>19271.824148762014</v>
      </c>
      <c r="AF81" s="69">
        <f t="shared" si="42"/>
        <v>19733.059855833864</v>
      </c>
      <c r="AG81" s="69">
        <f t="shared" si="42"/>
        <v>20203.52027704717</v>
      </c>
      <c r="AH81" s="69">
        <f t="shared" si="42"/>
        <v>20683.389906684733</v>
      </c>
      <c r="AI81" s="69">
        <f t="shared" ref="AI81:BN81" si="43">AI78-AI79-AI80</f>
        <v>21172.856928915051</v>
      </c>
      <c r="AJ81" s="69">
        <f t="shared" si="43"/>
        <v>21672.113291589962</v>
      </c>
      <c r="AK81" s="69">
        <f t="shared" si="43"/>
        <v>22181.354781518381</v>
      </c>
      <c r="AL81" s="69">
        <f t="shared" si="43"/>
        <v>22700.781101245371</v>
      </c>
      <c r="AM81" s="69">
        <f t="shared" si="43"/>
        <v>23230.595947366895</v>
      </c>
      <c r="AN81" s="69">
        <f t="shared" si="43"/>
        <v>19375.894066633733</v>
      </c>
      <c r="AO81" s="69">
        <f t="shared" si="43"/>
        <v>18896.238478233732</v>
      </c>
      <c r="AP81" s="69">
        <f t="shared" si="43"/>
        <v>19319.640098081421</v>
      </c>
      <c r="AQ81" s="68">
        <f t="shared" si="43"/>
        <v>6097.3288518542004</v>
      </c>
      <c r="AR81" s="68">
        <f t="shared" si="43"/>
        <v>0</v>
      </c>
      <c r="AS81" s="68">
        <f t="shared" si="43"/>
        <v>0</v>
      </c>
      <c r="AT81" s="68">
        <f t="shared" si="43"/>
        <v>0</v>
      </c>
      <c r="AU81" s="68">
        <f t="shared" si="43"/>
        <v>0</v>
      </c>
      <c r="AV81" s="68">
        <f t="shared" si="43"/>
        <v>0</v>
      </c>
      <c r="AW81" s="68">
        <f t="shared" si="43"/>
        <v>0</v>
      </c>
      <c r="AX81" s="68">
        <f t="shared" si="43"/>
        <v>0</v>
      </c>
      <c r="AY81" s="68">
        <f t="shared" si="43"/>
        <v>0</v>
      </c>
      <c r="AZ81" s="68">
        <f t="shared" si="43"/>
        <v>0</v>
      </c>
      <c r="BA81" s="68">
        <f t="shared" si="43"/>
        <v>0</v>
      </c>
      <c r="BB81" s="68">
        <f t="shared" si="43"/>
        <v>0</v>
      </c>
      <c r="BC81" s="68">
        <f t="shared" si="43"/>
        <v>0</v>
      </c>
      <c r="BD81" s="68">
        <f t="shared" si="43"/>
        <v>0</v>
      </c>
      <c r="BE81" s="68">
        <f t="shared" si="43"/>
        <v>0</v>
      </c>
      <c r="BF81" s="68">
        <f t="shared" si="43"/>
        <v>0</v>
      </c>
      <c r="BG81" s="68">
        <f t="shared" si="43"/>
        <v>0</v>
      </c>
      <c r="BH81" s="68">
        <f t="shared" si="43"/>
        <v>0</v>
      </c>
      <c r="BI81" s="68">
        <f t="shared" si="43"/>
        <v>0</v>
      </c>
      <c r="BJ81" s="68">
        <f t="shared" si="43"/>
        <v>0</v>
      </c>
      <c r="BK81" s="68">
        <f t="shared" si="43"/>
        <v>0</v>
      </c>
      <c r="BL81" s="68">
        <f t="shared" si="43"/>
        <v>0</v>
      </c>
      <c r="BM81" s="68">
        <f t="shared" si="43"/>
        <v>0</v>
      </c>
      <c r="BN81" s="68">
        <f t="shared" si="43"/>
        <v>0</v>
      </c>
      <c r="BO81" s="68">
        <f t="shared" ref="BO81" si="44">BO78-BO79-BO80</f>
        <v>0</v>
      </c>
    </row>
    <row r="82" spans="1:67" ht="15" customHeight="1" x14ac:dyDescent="0.2">
      <c r="A82" s="14" t="s">
        <v>230</v>
      </c>
      <c r="B82" s="68">
        <f t="shared" si="37"/>
        <v>141852</v>
      </c>
      <c r="C82" s="27">
        <f t="shared" ref="C82:AH82" si="45">C131*$B$132</f>
        <v>0</v>
      </c>
      <c r="D82" s="27">
        <f t="shared" si="45"/>
        <v>0</v>
      </c>
      <c r="E82" s="27">
        <f t="shared" si="45"/>
        <v>0</v>
      </c>
      <c r="F82" s="27">
        <f t="shared" si="45"/>
        <v>0</v>
      </c>
      <c r="G82" s="27">
        <f t="shared" si="45"/>
        <v>0</v>
      </c>
      <c r="H82" s="27">
        <f t="shared" si="45"/>
        <v>0</v>
      </c>
      <c r="I82" s="27">
        <f t="shared" si="45"/>
        <v>0</v>
      </c>
      <c r="J82" s="27">
        <f t="shared" si="45"/>
        <v>64.027899587338368</v>
      </c>
      <c r="K82" s="27">
        <f t="shared" si="45"/>
        <v>865.29662359367649</v>
      </c>
      <c r="L82" s="27">
        <f t="shared" si="45"/>
        <v>1494.6818136596291</v>
      </c>
      <c r="M82" s="27">
        <f t="shared" si="45"/>
        <v>1995.7230262115154</v>
      </c>
      <c r="N82" s="27">
        <f t="shared" si="45"/>
        <v>2313.9331877452228</v>
      </c>
      <c r="O82" s="27">
        <f t="shared" si="45"/>
        <v>2648.1296583380336</v>
      </c>
      <c r="P82" s="27">
        <f t="shared" si="45"/>
        <v>2929.5545052877678</v>
      </c>
      <c r="Q82" s="27">
        <f t="shared" si="45"/>
        <v>3172.0161843853057</v>
      </c>
      <c r="R82" s="27">
        <f t="shared" si="45"/>
        <v>3385.8833484713937</v>
      </c>
      <c r="S82" s="27">
        <f t="shared" si="45"/>
        <v>3578.945044394156</v>
      </c>
      <c r="T82" s="27">
        <f t="shared" si="45"/>
        <v>3757.0558656515896</v>
      </c>
      <c r="U82" s="27">
        <f t="shared" si="45"/>
        <v>3924.6198218963295</v>
      </c>
      <c r="V82" s="27">
        <f t="shared" si="45"/>
        <v>4065.4485079942397</v>
      </c>
      <c r="W82" s="27">
        <f t="shared" si="45"/>
        <v>4221.052242462536</v>
      </c>
      <c r="X82" s="27">
        <f t="shared" si="45"/>
        <v>4232.4709711201176</v>
      </c>
      <c r="Y82" s="27">
        <f t="shared" si="45"/>
        <v>4261.0539904098396</v>
      </c>
      <c r="Z82" s="27">
        <f t="shared" si="45"/>
        <v>4461.1373822992573</v>
      </c>
      <c r="AA82" s="27">
        <f t="shared" si="45"/>
        <v>4644.8498640451862</v>
      </c>
      <c r="AB82" s="27">
        <f t="shared" si="45"/>
        <v>4816.9571619400758</v>
      </c>
      <c r="AC82" s="27">
        <f t="shared" si="45"/>
        <v>4981.0470306783964</v>
      </c>
      <c r="AD82" s="27">
        <f t="shared" si="45"/>
        <v>5139.8240154556297</v>
      </c>
      <c r="AE82" s="27">
        <f t="shared" si="45"/>
        <v>5295.3305289265263</v>
      </c>
      <c r="AF82" s="27">
        <f t="shared" si="45"/>
        <v>5449.1126644154183</v>
      </c>
      <c r="AG82" s="27">
        <f t="shared" si="45"/>
        <v>5602.3445614255297</v>
      </c>
      <c r="AH82" s="27">
        <f t="shared" si="45"/>
        <v>5755.9216854844217</v>
      </c>
      <c r="AI82" s="27">
        <f t="shared" ref="AI82:BO82" si="46">AI131*$B$132</f>
        <v>5910.5307938559254</v>
      </c>
      <c r="AJ82" s="27">
        <f t="shared" si="46"/>
        <v>6066.7024157684318</v>
      </c>
      <c r="AK82" s="27">
        <f t="shared" si="46"/>
        <v>6224.8502186493715</v>
      </c>
      <c r="AL82" s="27">
        <f t="shared" si="46"/>
        <v>6385.300538985568</v>
      </c>
      <c r="AM82" s="27">
        <f t="shared" si="46"/>
        <v>6548.3145367767138</v>
      </c>
      <c r="AN82" s="27">
        <f t="shared" si="46"/>
        <v>5409.0140233008988</v>
      </c>
      <c r="AO82" s="27">
        <f t="shared" si="46"/>
        <v>5296.0980596725485</v>
      </c>
      <c r="AP82" s="27">
        <f t="shared" si="46"/>
        <v>5449.7197631822182</v>
      </c>
      <c r="AQ82" s="27">
        <f t="shared" si="46"/>
        <v>1505.0520639291874</v>
      </c>
      <c r="AR82" s="27">
        <f t="shared" si="46"/>
        <v>0</v>
      </c>
      <c r="AS82" s="27">
        <f t="shared" si="46"/>
        <v>0</v>
      </c>
      <c r="AT82" s="27">
        <f t="shared" si="46"/>
        <v>0</v>
      </c>
      <c r="AU82" s="27">
        <f t="shared" si="46"/>
        <v>0</v>
      </c>
      <c r="AV82" s="27">
        <f t="shared" si="46"/>
        <v>0</v>
      </c>
      <c r="AW82" s="27">
        <f t="shared" si="46"/>
        <v>0</v>
      </c>
      <c r="AX82" s="27">
        <f t="shared" si="46"/>
        <v>0</v>
      </c>
      <c r="AY82" s="27">
        <f t="shared" si="46"/>
        <v>0</v>
      </c>
      <c r="AZ82" s="27">
        <f t="shared" si="46"/>
        <v>0</v>
      </c>
      <c r="BA82" s="27">
        <f t="shared" si="46"/>
        <v>0</v>
      </c>
      <c r="BB82" s="27">
        <f t="shared" si="46"/>
        <v>0</v>
      </c>
      <c r="BC82" s="27">
        <f t="shared" si="46"/>
        <v>0</v>
      </c>
      <c r="BD82" s="27">
        <f t="shared" si="46"/>
        <v>0</v>
      </c>
      <c r="BE82" s="27">
        <f t="shared" si="46"/>
        <v>0</v>
      </c>
      <c r="BF82" s="27">
        <f t="shared" si="46"/>
        <v>0</v>
      </c>
      <c r="BG82" s="27">
        <f t="shared" si="46"/>
        <v>0</v>
      </c>
      <c r="BH82" s="27">
        <f t="shared" si="46"/>
        <v>0</v>
      </c>
      <c r="BI82" s="27">
        <f t="shared" si="46"/>
        <v>0</v>
      </c>
      <c r="BJ82" s="27">
        <f t="shared" si="46"/>
        <v>0</v>
      </c>
      <c r="BK82" s="27">
        <f t="shared" si="46"/>
        <v>0</v>
      </c>
      <c r="BL82" s="27">
        <f t="shared" si="46"/>
        <v>0</v>
      </c>
      <c r="BM82" s="27">
        <f t="shared" si="46"/>
        <v>0</v>
      </c>
      <c r="BN82" s="27">
        <f t="shared" si="46"/>
        <v>0</v>
      </c>
      <c r="BO82" s="27">
        <f t="shared" si="46"/>
        <v>0</v>
      </c>
    </row>
    <row r="83" spans="1:67" ht="15" customHeight="1" x14ac:dyDescent="0.2">
      <c r="A83" s="29" t="s">
        <v>231</v>
      </c>
      <c r="B83" s="69">
        <f t="shared" si="37"/>
        <v>506771.95501697366</v>
      </c>
      <c r="C83" s="69">
        <f t="shared" ref="C83:AH83" si="47">C81-C82</f>
        <v>9335.1459294701581</v>
      </c>
      <c r="D83" s="69">
        <f t="shared" si="47"/>
        <v>8878.4818744925597</v>
      </c>
      <c r="E83" s="69">
        <f t="shared" si="47"/>
        <v>8796.3684790419284</v>
      </c>
      <c r="F83" s="69">
        <f t="shared" si="47"/>
        <v>7986.2440437810437</v>
      </c>
      <c r="G83" s="69">
        <f t="shared" si="47"/>
        <v>8784.5695482133124</v>
      </c>
      <c r="H83" s="69">
        <f t="shared" si="47"/>
        <v>11627.283390678103</v>
      </c>
      <c r="I83" s="69">
        <f t="shared" si="47"/>
        <v>11959.91985010483</v>
      </c>
      <c r="J83" s="69">
        <f t="shared" si="47"/>
        <v>12235.181139132763</v>
      </c>
      <c r="K83" s="69">
        <f t="shared" si="47"/>
        <v>11779.987387513991</v>
      </c>
      <c r="L83" s="69">
        <f t="shared" si="47"/>
        <v>11503.598669283361</v>
      </c>
      <c r="M83" s="69">
        <f t="shared" si="47"/>
        <v>11362.6138580035</v>
      </c>
      <c r="N83" s="69">
        <f t="shared" si="47"/>
        <v>11125.253783219814</v>
      </c>
      <c r="O83" s="69">
        <f t="shared" si="47"/>
        <v>11165.659992510427</v>
      </c>
      <c r="P83" s="69">
        <f t="shared" si="47"/>
        <v>11266.329879041772</v>
      </c>
      <c r="Q83" s="69">
        <f t="shared" si="47"/>
        <v>11413.604828094947</v>
      </c>
      <c r="R83" s="69">
        <f t="shared" si="47"/>
        <v>11597.269024722576</v>
      </c>
      <c r="S83" s="69">
        <f t="shared" si="47"/>
        <v>11809.689316727807</v>
      </c>
      <c r="T83" s="69">
        <f t="shared" si="47"/>
        <v>12045.170123156933</v>
      </c>
      <c r="U83" s="69">
        <f t="shared" si="47"/>
        <v>12299.469627152475</v>
      </c>
      <c r="V83" s="69">
        <f t="shared" si="47"/>
        <v>12524.844108071822</v>
      </c>
      <c r="W83" s="69">
        <f t="shared" si="47"/>
        <v>12808.147117637518</v>
      </c>
      <c r="X83" s="69">
        <f t="shared" si="47"/>
        <v>12692.456967255384</v>
      </c>
      <c r="Y83" s="69">
        <f t="shared" si="47"/>
        <v>12427.190220870423</v>
      </c>
      <c r="Z83" s="69">
        <f t="shared" si="47"/>
        <v>12636.670937303235</v>
      </c>
      <c r="AA83" s="69">
        <f t="shared" si="47"/>
        <v>12870.713846045979</v>
      </c>
      <c r="AB83" s="69">
        <f t="shared" si="47"/>
        <v>13124.71704644953</v>
      </c>
      <c r="AC83" s="69">
        <f t="shared" si="47"/>
        <v>13395.259885975622</v>
      </c>
      <c r="AD83" s="69">
        <f t="shared" si="47"/>
        <v>13679.808263628081</v>
      </c>
      <c r="AE83" s="69">
        <f t="shared" si="47"/>
        <v>13976.493619835488</v>
      </c>
      <c r="AF83" s="69">
        <f t="shared" si="47"/>
        <v>14283.947191418447</v>
      </c>
      <c r="AG83" s="69">
        <f t="shared" si="47"/>
        <v>14601.175715621641</v>
      </c>
      <c r="AH83" s="69">
        <f t="shared" si="47"/>
        <v>14927.468221200312</v>
      </c>
      <c r="AI83" s="69">
        <f t="shared" ref="AI83:BN83" si="48">AI81-AI82</f>
        <v>15262.326135059126</v>
      </c>
      <c r="AJ83" s="69">
        <f t="shared" si="48"/>
        <v>15605.41087582153</v>
      </c>
      <c r="AK83" s="69">
        <f t="shared" si="48"/>
        <v>15956.50456286901</v>
      </c>
      <c r="AL83" s="69">
        <f t="shared" si="48"/>
        <v>16315.480562259803</v>
      </c>
      <c r="AM83" s="69">
        <f t="shared" si="48"/>
        <v>16682.281410590182</v>
      </c>
      <c r="AN83" s="69">
        <f t="shared" si="48"/>
        <v>13966.880043332834</v>
      </c>
      <c r="AO83" s="69">
        <f t="shared" si="48"/>
        <v>13600.140418561183</v>
      </c>
      <c r="AP83" s="69">
        <f t="shared" si="48"/>
        <v>13869.920334899203</v>
      </c>
      <c r="AQ83" s="68">
        <f t="shared" si="48"/>
        <v>4592.2767879250132</v>
      </c>
      <c r="AR83" s="68">
        <f t="shared" si="48"/>
        <v>0</v>
      </c>
      <c r="AS83" s="68">
        <f t="shared" si="48"/>
        <v>0</v>
      </c>
      <c r="AT83" s="68">
        <f t="shared" si="48"/>
        <v>0</v>
      </c>
      <c r="AU83" s="68">
        <f t="shared" si="48"/>
        <v>0</v>
      </c>
      <c r="AV83" s="68">
        <f t="shared" si="48"/>
        <v>0</v>
      </c>
      <c r="AW83" s="68">
        <f t="shared" si="48"/>
        <v>0</v>
      </c>
      <c r="AX83" s="68">
        <f t="shared" si="48"/>
        <v>0</v>
      </c>
      <c r="AY83" s="68">
        <f t="shared" si="48"/>
        <v>0</v>
      </c>
      <c r="AZ83" s="68">
        <f t="shared" si="48"/>
        <v>0</v>
      </c>
      <c r="BA83" s="68">
        <f t="shared" si="48"/>
        <v>0</v>
      </c>
      <c r="BB83" s="68">
        <f t="shared" si="48"/>
        <v>0</v>
      </c>
      <c r="BC83" s="68">
        <f t="shared" si="48"/>
        <v>0</v>
      </c>
      <c r="BD83" s="68">
        <f t="shared" si="48"/>
        <v>0</v>
      </c>
      <c r="BE83" s="68">
        <f t="shared" si="48"/>
        <v>0</v>
      </c>
      <c r="BF83" s="68">
        <f t="shared" si="48"/>
        <v>0</v>
      </c>
      <c r="BG83" s="68">
        <f t="shared" si="48"/>
        <v>0</v>
      </c>
      <c r="BH83" s="68">
        <f t="shared" si="48"/>
        <v>0</v>
      </c>
      <c r="BI83" s="68">
        <f t="shared" si="48"/>
        <v>0</v>
      </c>
      <c r="BJ83" s="68">
        <f t="shared" si="48"/>
        <v>0</v>
      </c>
      <c r="BK83" s="68">
        <f t="shared" si="48"/>
        <v>0</v>
      </c>
      <c r="BL83" s="68">
        <f t="shared" si="48"/>
        <v>0</v>
      </c>
      <c r="BM83" s="68">
        <f t="shared" si="48"/>
        <v>0</v>
      </c>
      <c r="BN83" s="68">
        <f t="shared" si="48"/>
        <v>0</v>
      </c>
      <c r="BO83" s="68">
        <f t="shared" ref="BO83" si="49">BO81-BO82</f>
        <v>0</v>
      </c>
    </row>
    <row r="84" spans="1:67" ht="15" customHeight="1" x14ac:dyDescent="0.2">
      <c r="A84" s="14" t="s">
        <v>232</v>
      </c>
      <c r="B84" s="68">
        <f t="shared" si="37"/>
        <v>126167.92532491167</v>
      </c>
      <c r="C84" s="65">
        <f t="shared" ref="C84:AH84" si="50">C81*C$6</f>
        <v>8900.7124088980672</v>
      </c>
      <c r="D84" s="65">
        <f t="shared" si="50"/>
        <v>7695.7275605670311</v>
      </c>
      <c r="E84" s="65">
        <f t="shared" si="50"/>
        <v>6931.411790070767</v>
      </c>
      <c r="F84" s="65">
        <f t="shared" si="50"/>
        <v>5720.9503563716471</v>
      </c>
      <c r="G84" s="65">
        <f t="shared" si="50"/>
        <v>5720.7557044241821</v>
      </c>
      <c r="H84" s="65">
        <f t="shared" si="50"/>
        <v>6883.6453841132379</v>
      </c>
      <c r="I84" s="65">
        <f t="shared" si="50"/>
        <v>6436.8859708757991</v>
      </c>
      <c r="J84" s="65">
        <f t="shared" si="50"/>
        <v>6017.720938421925</v>
      </c>
      <c r="K84" s="65">
        <f t="shared" si="50"/>
        <v>5624.5886238679313</v>
      </c>
      <c r="L84" s="65">
        <f t="shared" si="50"/>
        <v>5256.000466978664</v>
      </c>
      <c r="M84" s="65">
        <f t="shared" si="50"/>
        <v>4910.5393729597508</v>
      </c>
      <c r="N84" s="65">
        <f t="shared" si="50"/>
        <v>4491.145412751971</v>
      </c>
      <c r="O84" s="65">
        <f t="shared" si="50"/>
        <v>4196.6647209431594</v>
      </c>
      <c r="P84" s="65">
        <f t="shared" si="50"/>
        <v>3920.6782553129624</v>
      </c>
      <c r="Q84" s="65">
        <f t="shared" si="50"/>
        <v>3662.1066677218041</v>
      </c>
      <c r="R84" s="65">
        <f t="shared" si="50"/>
        <v>3419.9249547591944</v>
      </c>
      <c r="S84" s="65">
        <f t="shared" si="50"/>
        <v>3193.1607011559422</v>
      </c>
      <c r="T84" s="65">
        <f t="shared" si="50"/>
        <v>2980.8922513339885</v>
      </c>
      <c r="U84" s="65">
        <f t="shared" si="50"/>
        <v>2782.2468324669917</v>
      </c>
      <c r="V84" s="65">
        <f t="shared" si="50"/>
        <v>2586.4059190674925</v>
      </c>
      <c r="W84" s="65">
        <f t="shared" si="50"/>
        <v>2413.4826662151086</v>
      </c>
      <c r="X84" s="65">
        <f t="shared" si="50"/>
        <v>2180.6406184211974</v>
      </c>
      <c r="Y84" s="65">
        <f t="shared" si="50"/>
        <v>1954.6780244528727</v>
      </c>
      <c r="Z84" s="65">
        <f t="shared" si="50"/>
        <v>1820.5907957239017</v>
      </c>
      <c r="AA84" s="65">
        <f t="shared" si="50"/>
        <v>1695.5216224434546</v>
      </c>
      <c r="AB84" s="65">
        <f t="shared" si="50"/>
        <v>1578.8813499429539</v>
      </c>
      <c r="AC84" s="65">
        <f t="shared" si="50"/>
        <v>1470.1176071743155</v>
      </c>
      <c r="AD84" s="65">
        <f t="shared" si="50"/>
        <v>1368.7126828095165</v>
      </c>
      <c r="AE84" s="65">
        <f t="shared" si="50"/>
        <v>1274.1815056900371</v>
      </c>
      <c r="AF84" s="65">
        <f t="shared" si="50"/>
        <v>1186.0697265930201</v>
      </c>
      <c r="AG84" s="65">
        <f t="shared" si="50"/>
        <v>1103.951898087483</v>
      </c>
      <c r="AH84" s="65">
        <f t="shared" si="50"/>
        <v>1027.4297491119883</v>
      </c>
      <c r="AI84" s="65">
        <f t="shared" ref="AI84:BO84" si="51">AI81*AI$6</f>
        <v>956.13055080793833</v>
      </c>
      <c r="AJ84" s="65">
        <f t="shared" si="51"/>
        <v>889.70557008347953</v>
      </c>
      <c r="AK84" s="65">
        <f t="shared" si="51"/>
        <v>827.82860735652491</v>
      </c>
      <c r="AL84" s="65">
        <f t="shared" si="51"/>
        <v>770.19461492648702</v>
      </c>
      <c r="AM84" s="65">
        <f t="shared" si="51"/>
        <v>716.51839244875896</v>
      </c>
      <c r="AN84" s="65">
        <f t="shared" si="51"/>
        <v>543.29543755519308</v>
      </c>
      <c r="AO84" s="65">
        <f t="shared" si="51"/>
        <v>481.67819047700357</v>
      </c>
      <c r="AP84" s="65">
        <f t="shared" si="51"/>
        <v>447.70090059939571</v>
      </c>
      <c r="AQ84" s="65">
        <f t="shared" si="51"/>
        <v>128.45052092855366</v>
      </c>
      <c r="AR84" s="65">
        <f t="shared" si="51"/>
        <v>0</v>
      </c>
      <c r="AS84" s="65">
        <f t="shared" si="51"/>
        <v>0</v>
      </c>
      <c r="AT84" s="65">
        <f t="shared" si="51"/>
        <v>0</v>
      </c>
      <c r="AU84" s="65">
        <f t="shared" si="51"/>
        <v>0</v>
      </c>
      <c r="AV84" s="65">
        <f t="shared" si="51"/>
        <v>0</v>
      </c>
      <c r="AW84" s="65">
        <f t="shared" si="51"/>
        <v>0</v>
      </c>
      <c r="AX84" s="65">
        <f t="shared" si="51"/>
        <v>0</v>
      </c>
      <c r="AY84" s="65">
        <f t="shared" si="51"/>
        <v>0</v>
      </c>
      <c r="AZ84" s="65">
        <f t="shared" si="51"/>
        <v>0</v>
      </c>
      <c r="BA84" s="65">
        <f t="shared" si="51"/>
        <v>0</v>
      </c>
      <c r="BB84" s="65">
        <f t="shared" si="51"/>
        <v>0</v>
      </c>
      <c r="BC84" s="65">
        <f t="shared" si="51"/>
        <v>0</v>
      </c>
      <c r="BD84" s="65">
        <f t="shared" si="51"/>
        <v>0</v>
      </c>
      <c r="BE84" s="65">
        <f t="shared" si="51"/>
        <v>0</v>
      </c>
      <c r="BF84" s="65">
        <f t="shared" si="51"/>
        <v>0</v>
      </c>
      <c r="BG84" s="65">
        <f t="shared" si="51"/>
        <v>0</v>
      </c>
      <c r="BH84" s="65">
        <f t="shared" si="51"/>
        <v>0</v>
      </c>
      <c r="BI84" s="65">
        <f t="shared" si="51"/>
        <v>0</v>
      </c>
      <c r="BJ84" s="65">
        <f t="shared" si="51"/>
        <v>0</v>
      </c>
      <c r="BK84" s="65">
        <f t="shared" si="51"/>
        <v>0</v>
      </c>
      <c r="BL84" s="65">
        <f t="shared" si="51"/>
        <v>0</v>
      </c>
      <c r="BM84" s="65">
        <f t="shared" si="51"/>
        <v>0</v>
      </c>
      <c r="BN84" s="65">
        <f t="shared" si="51"/>
        <v>0</v>
      </c>
      <c r="BO84" s="65">
        <f t="shared" si="51"/>
        <v>0</v>
      </c>
    </row>
    <row r="85" spans="1:67" ht="15" customHeight="1" x14ac:dyDescent="0.2">
      <c r="A85" s="29" t="s">
        <v>233</v>
      </c>
      <c r="B85" s="69">
        <f t="shared" si="37"/>
        <v>111054.65476703555</v>
      </c>
      <c r="C85" s="69">
        <f t="shared" ref="C85:AH85" si="52">C83*C$6</f>
        <v>8900.7124088980672</v>
      </c>
      <c r="D85" s="69">
        <f t="shared" si="52"/>
        <v>7695.7275605670311</v>
      </c>
      <c r="E85" s="69">
        <f t="shared" si="52"/>
        <v>6931.411790070767</v>
      </c>
      <c r="F85" s="69">
        <f t="shared" si="52"/>
        <v>5720.9503563716471</v>
      </c>
      <c r="G85" s="69">
        <f t="shared" si="52"/>
        <v>5720.7557044241821</v>
      </c>
      <c r="H85" s="69">
        <f t="shared" si="52"/>
        <v>6883.6453841132379</v>
      </c>
      <c r="I85" s="69">
        <f t="shared" si="52"/>
        <v>6436.8859708757991</v>
      </c>
      <c r="J85" s="69">
        <f t="shared" si="52"/>
        <v>5986.3935554351901</v>
      </c>
      <c r="K85" s="69">
        <f t="shared" si="52"/>
        <v>5239.7069920231124</v>
      </c>
      <c r="L85" s="69">
        <f t="shared" si="52"/>
        <v>4651.609115300369</v>
      </c>
      <c r="M85" s="69">
        <f t="shared" si="52"/>
        <v>4176.9093872304375</v>
      </c>
      <c r="N85" s="69">
        <f t="shared" si="52"/>
        <v>3717.8686926640248</v>
      </c>
      <c r="O85" s="69">
        <f t="shared" si="52"/>
        <v>3392.1561396974698</v>
      </c>
      <c r="P85" s="69">
        <f t="shared" si="52"/>
        <v>3111.5817358094091</v>
      </c>
      <c r="Q85" s="69">
        <f t="shared" si="52"/>
        <v>2865.6879475987876</v>
      </c>
      <c r="R85" s="69">
        <f t="shared" si="52"/>
        <v>2647.0924647114048</v>
      </c>
      <c r="S85" s="69">
        <f t="shared" si="52"/>
        <v>2450.5251690369623</v>
      </c>
      <c r="T85" s="69">
        <f t="shared" si="52"/>
        <v>2272.1706620033856</v>
      </c>
      <c r="U85" s="69">
        <f t="shared" si="52"/>
        <v>2109.2191656509403</v>
      </c>
      <c r="V85" s="69">
        <f t="shared" si="52"/>
        <v>1952.6075691482295</v>
      </c>
      <c r="W85" s="69">
        <f t="shared" si="52"/>
        <v>1815.2492316919786</v>
      </c>
      <c r="X85" s="69">
        <f t="shared" si="52"/>
        <v>1635.32083038321</v>
      </c>
      <c r="Y85" s="69">
        <f t="shared" si="52"/>
        <v>1455.5848609892512</v>
      </c>
      <c r="Z85" s="69">
        <f t="shared" si="52"/>
        <v>1345.5646692839327</v>
      </c>
      <c r="AA85" s="69">
        <f t="shared" si="52"/>
        <v>1245.8961631751977</v>
      </c>
      <c r="AB85" s="69">
        <f t="shared" si="52"/>
        <v>1154.9853557271517</v>
      </c>
      <c r="AC85" s="69">
        <f t="shared" si="52"/>
        <v>1071.6303063702983</v>
      </c>
      <c r="AD85" s="69">
        <f t="shared" si="52"/>
        <v>994.90398065003023</v>
      </c>
      <c r="AE85" s="69">
        <f t="shared" si="52"/>
        <v>924.07389914530575</v>
      </c>
      <c r="AF85" s="69">
        <f t="shared" si="52"/>
        <v>858.54689864461989</v>
      </c>
      <c r="AG85" s="69">
        <f t="shared" si="52"/>
        <v>797.83104253776276</v>
      </c>
      <c r="AH85" s="69">
        <f t="shared" si="52"/>
        <v>741.50924962393231</v>
      </c>
      <c r="AI85" s="69">
        <f t="shared" ref="AI85:BO85" si="53">AI83*AI$6</f>
        <v>689.22093712330411</v>
      </c>
      <c r="AJ85" s="69">
        <f t="shared" si="53"/>
        <v>640.64915095509446</v>
      </c>
      <c r="AK85" s="69">
        <f t="shared" si="53"/>
        <v>595.51145909103366</v>
      </c>
      <c r="AL85" s="69">
        <f t="shared" si="53"/>
        <v>553.55343117690757</v>
      </c>
      <c r="AM85" s="69">
        <f t="shared" si="53"/>
        <v>514.54390088725813</v>
      </c>
      <c r="AN85" s="69">
        <f t="shared" si="53"/>
        <v>391.62797744082269</v>
      </c>
      <c r="AO85" s="69">
        <f t="shared" si="53"/>
        <v>346.67698730578434</v>
      </c>
      <c r="AP85" s="69">
        <f t="shared" si="53"/>
        <v>321.41260363296834</v>
      </c>
      <c r="AQ85" s="68">
        <f t="shared" si="53"/>
        <v>96.744059569247298</v>
      </c>
      <c r="AR85" s="68">
        <f t="shared" si="53"/>
        <v>0</v>
      </c>
      <c r="AS85" s="68">
        <f t="shared" si="53"/>
        <v>0</v>
      </c>
      <c r="AT85" s="68">
        <f t="shared" si="53"/>
        <v>0</v>
      </c>
      <c r="AU85" s="68">
        <f t="shared" si="53"/>
        <v>0</v>
      </c>
      <c r="AV85" s="68">
        <f t="shared" si="53"/>
        <v>0</v>
      </c>
      <c r="AW85" s="68">
        <f t="shared" si="53"/>
        <v>0</v>
      </c>
      <c r="AX85" s="68">
        <f t="shared" si="53"/>
        <v>0</v>
      </c>
      <c r="AY85" s="68">
        <f t="shared" si="53"/>
        <v>0</v>
      </c>
      <c r="AZ85" s="68">
        <f t="shared" si="53"/>
        <v>0</v>
      </c>
      <c r="BA85" s="68">
        <f t="shared" si="53"/>
        <v>0</v>
      </c>
      <c r="BB85" s="68">
        <f t="shared" si="53"/>
        <v>0</v>
      </c>
      <c r="BC85" s="68">
        <f t="shared" si="53"/>
        <v>0</v>
      </c>
      <c r="BD85" s="68">
        <f t="shared" si="53"/>
        <v>0</v>
      </c>
      <c r="BE85" s="68">
        <f t="shared" si="53"/>
        <v>0</v>
      </c>
      <c r="BF85" s="68">
        <f t="shared" si="53"/>
        <v>0</v>
      </c>
      <c r="BG85" s="68">
        <f t="shared" si="53"/>
        <v>0</v>
      </c>
      <c r="BH85" s="68">
        <f t="shared" si="53"/>
        <v>0</v>
      </c>
      <c r="BI85" s="68">
        <f t="shared" si="53"/>
        <v>0</v>
      </c>
      <c r="BJ85" s="68">
        <f t="shared" si="53"/>
        <v>0</v>
      </c>
      <c r="BK85" s="68">
        <f t="shared" si="53"/>
        <v>0</v>
      </c>
      <c r="BL85" s="68">
        <f t="shared" si="53"/>
        <v>0</v>
      </c>
      <c r="BM85" s="68">
        <f t="shared" si="53"/>
        <v>0</v>
      </c>
      <c r="BN85" s="68">
        <f t="shared" si="53"/>
        <v>0</v>
      </c>
      <c r="BO85" s="68">
        <f t="shared" si="53"/>
        <v>0</v>
      </c>
    </row>
    <row r="87" spans="1:67" ht="15" customHeight="1" x14ac:dyDescent="0.2">
      <c r="A87" s="29" t="s">
        <v>234</v>
      </c>
      <c r="B87" s="6"/>
      <c r="C87" s="6"/>
      <c r="D87" s="6"/>
      <c r="E87" s="6"/>
      <c r="F87" s="6"/>
    </row>
    <row r="88" spans="1:67" ht="15" customHeight="1" x14ac:dyDescent="0.2">
      <c r="A88" s="74" t="s">
        <v>235</v>
      </c>
      <c r="B88" s="74" t="s">
        <v>236</v>
      </c>
      <c r="C88" s="74" t="s">
        <v>237</v>
      </c>
      <c r="D88" s="74" t="s">
        <v>238</v>
      </c>
      <c r="E88" s="74" t="s">
        <v>239</v>
      </c>
    </row>
    <row r="89" spans="1:67" ht="15" customHeight="1" x14ac:dyDescent="0.2">
      <c r="A89" s="14" t="s">
        <v>240</v>
      </c>
      <c r="B89" s="27">
        <f>'Model Inputs'!B29</f>
        <v>15911</v>
      </c>
      <c r="C89" s="75">
        <v>15910</v>
      </c>
      <c r="D89" s="65">
        <f t="shared" ref="D89:D100" si="54">B89-C89</f>
        <v>1</v>
      </c>
      <c r="E89" s="76">
        <f t="shared" ref="E89:E100" si="55">IF(C89=0,"",B89/C89-1)</f>
        <v>6.2853551225705573E-5</v>
      </c>
    </row>
    <row r="90" spans="1:67" ht="15" customHeight="1" x14ac:dyDescent="0.2">
      <c r="A90" s="14" t="s">
        <v>241</v>
      </c>
      <c r="B90" s="62">
        <f>'Model Inputs'!B37</f>
        <v>31.871851122210764</v>
      </c>
      <c r="C90" s="77">
        <v>31</v>
      </c>
      <c r="D90" s="64">
        <f t="shared" si="54"/>
        <v>0.87185112221076366</v>
      </c>
      <c r="E90" s="76">
        <f t="shared" si="55"/>
        <v>2.8124229748734297E-2</v>
      </c>
    </row>
    <row r="91" spans="1:67" ht="15" customHeight="1" x14ac:dyDescent="0.2">
      <c r="A91" s="14" t="s">
        <v>242</v>
      </c>
      <c r="B91" s="65">
        <f>B48</f>
        <v>1547821.034441947</v>
      </c>
      <c r="C91" s="27">
        <f>'Model Inputs'!B89</f>
        <v>1519855</v>
      </c>
      <c r="D91" s="65">
        <f t="shared" si="54"/>
        <v>27966.034441947006</v>
      </c>
      <c r="E91" s="76">
        <f t="shared" si="55"/>
        <v>1.8400462176949128E-2</v>
      </c>
    </row>
    <row r="92" spans="1:67" ht="15" customHeight="1" x14ac:dyDescent="0.2">
      <c r="A92" s="14" t="s">
        <v>243</v>
      </c>
      <c r="B92" s="65">
        <f>B61</f>
        <v>296895.64771863201</v>
      </c>
      <c r="C92" s="27">
        <f>'Model Inputs'!B91</f>
        <v>285561</v>
      </c>
      <c r="D92" s="65">
        <f t="shared" si="54"/>
        <v>11334.647718632012</v>
      </c>
      <c r="E92" s="76">
        <f t="shared" si="55"/>
        <v>3.9692562074765236E-2</v>
      </c>
    </row>
    <row r="93" spans="1:67" ht="15" customHeight="1" x14ac:dyDescent="0.2">
      <c r="A93" s="14" t="s">
        <v>244</v>
      </c>
      <c r="B93" s="65">
        <f>B75</f>
        <v>472357.4317063418</v>
      </c>
      <c r="C93" s="27">
        <f>'Model Inputs'!B92</f>
        <v>472357</v>
      </c>
      <c r="D93" s="65">
        <f t="shared" si="54"/>
        <v>0.43170634179841727</v>
      </c>
      <c r="E93" s="76">
        <f t="shared" si="55"/>
        <v>9.1394081547235828E-7</v>
      </c>
    </row>
    <row r="94" spans="1:67" ht="15" customHeight="1" x14ac:dyDescent="0.2">
      <c r="A94" s="14" t="s">
        <v>245</v>
      </c>
      <c r="B94" s="65">
        <f t="shared" ref="B94:B100" si="56">B79</f>
        <v>106074.99999999996</v>
      </c>
      <c r="C94" s="27">
        <f>'Model Inputs'!B93</f>
        <v>106074</v>
      </c>
      <c r="D94" s="65">
        <f t="shared" si="54"/>
        <v>0.99999999995634425</v>
      </c>
      <c r="E94" s="76">
        <f t="shared" si="55"/>
        <v>9.4273808846079277E-6</v>
      </c>
    </row>
    <row r="95" spans="1:67" ht="15" customHeight="1" x14ac:dyDescent="0.2">
      <c r="A95" s="14" t="s">
        <v>246</v>
      </c>
      <c r="B95" s="65">
        <f t="shared" si="56"/>
        <v>23868.999999999993</v>
      </c>
      <c r="C95" s="27">
        <f>'Model Inputs'!B94</f>
        <v>23869</v>
      </c>
      <c r="D95" s="65">
        <f t="shared" si="54"/>
        <v>0</v>
      </c>
      <c r="E95" s="76">
        <f t="shared" si="55"/>
        <v>-3.3306690738754696E-16</v>
      </c>
    </row>
    <row r="96" spans="1:67" ht="15" customHeight="1" x14ac:dyDescent="0.2">
      <c r="A96" s="14" t="s">
        <v>247</v>
      </c>
      <c r="B96" s="65">
        <f t="shared" si="56"/>
        <v>648623.95501697366</v>
      </c>
      <c r="C96" s="27">
        <f>'Model Inputs'!B88</f>
        <v>631994</v>
      </c>
      <c r="D96" s="65">
        <f t="shared" si="54"/>
        <v>16629.955016973661</v>
      </c>
      <c r="E96" s="76">
        <f t="shared" si="55"/>
        <v>2.631346977498783E-2</v>
      </c>
    </row>
    <row r="97" spans="1:6" ht="15" customHeight="1" x14ac:dyDescent="0.2">
      <c r="A97" s="14" t="s">
        <v>248</v>
      </c>
      <c r="B97" s="65">
        <f t="shared" si="56"/>
        <v>141852</v>
      </c>
      <c r="C97" s="27">
        <f>'Model Inputs'!B90</f>
        <v>141852</v>
      </c>
      <c r="D97" s="65">
        <f t="shared" si="54"/>
        <v>0</v>
      </c>
      <c r="E97" s="76">
        <f t="shared" si="55"/>
        <v>0</v>
      </c>
    </row>
    <row r="98" spans="1:6" ht="15" customHeight="1" x14ac:dyDescent="0.2">
      <c r="A98" s="14" t="s">
        <v>249</v>
      </c>
      <c r="B98" s="65">
        <f t="shared" si="56"/>
        <v>506771.95501697366</v>
      </c>
      <c r="C98" s="27">
        <f>'Model Inputs'!B95</f>
        <v>490142</v>
      </c>
      <c r="D98" s="65">
        <f t="shared" si="54"/>
        <v>16629.955016973661</v>
      </c>
      <c r="E98" s="76">
        <f t="shared" si="55"/>
        <v>3.3928851265497828E-2</v>
      </c>
    </row>
    <row r="99" spans="1:6" ht="15" customHeight="1" x14ac:dyDescent="0.2">
      <c r="A99" s="14" t="s">
        <v>250</v>
      </c>
      <c r="B99" s="65">
        <f t="shared" si="56"/>
        <v>126167.92532491167</v>
      </c>
      <c r="C99" s="27">
        <f>'Model Inputs'!B96</f>
        <v>157781</v>
      </c>
      <c r="D99" s="65">
        <f t="shared" si="54"/>
        <v>-31613.074675088326</v>
      </c>
      <c r="E99" s="76">
        <f t="shared" si="55"/>
        <v>-0.20036046593118517</v>
      </c>
    </row>
    <row r="100" spans="1:6" ht="15" customHeight="1" x14ac:dyDescent="0.2">
      <c r="A100" s="14" t="s">
        <v>251</v>
      </c>
      <c r="B100" s="65">
        <f t="shared" si="56"/>
        <v>111054.65476703555</v>
      </c>
      <c r="C100" s="27">
        <f>'Model Inputs'!B97</f>
        <v>122466</v>
      </c>
      <c r="D100" s="65">
        <f t="shared" si="54"/>
        <v>-11411.34523296445</v>
      </c>
      <c r="E100" s="76">
        <f t="shared" si="55"/>
        <v>-9.3179700757471062E-2</v>
      </c>
    </row>
    <row r="101" spans="1:6" ht="15.75" customHeight="1" x14ac:dyDescent="0.2">
      <c r="A101" s="1" t="s">
        <v>252</v>
      </c>
    </row>
    <row r="102" spans="1:6" ht="15" customHeight="1" x14ac:dyDescent="0.2">
      <c r="A102" s="78"/>
      <c r="B102" s="6"/>
      <c r="C102" s="6"/>
      <c r="D102" s="6"/>
      <c r="E102" s="6"/>
      <c r="F102" s="6"/>
    </row>
    <row r="103" spans="1:6" ht="15" customHeight="1" x14ac:dyDescent="0.2">
      <c r="A103" s="14" t="s">
        <v>253</v>
      </c>
      <c r="B103" s="67">
        <f>B85</f>
        <v>111054.65476703555</v>
      </c>
    </row>
    <row r="104" spans="1:6" ht="15" customHeight="1" x14ac:dyDescent="0.2">
      <c r="A104" s="14" t="s">
        <v>254</v>
      </c>
      <c r="B104" s="27">
        <f>'Model Inputs'!B104</f>
        <v>690</v>
      </c>
    </row>
    <row r="105" spans="1:6" ht="15" customHeight="1" x14ac:dyDescent="0.2">
      <c r="A105" s="14" t="s">
        <v>255</v>
      </c>
      <c r="B105" s="27">
        <f>'Model Inputs'!B105</f>
        <v>0</v>
      </c>
    </row>
    <row r="106" spans="1:6" ht="15" customHeight="1" x14ac:dyDescent="0.2">
      <c r="A106" s="14" t="s">
        <v>256</v>
      </c>
      <c r="B106" s="27">
        <f>-'Model Inputs'!B110</f>
        <v>-2048.884667730721</v>
      </c>
    </row>
    <row r="107" spans="1:6" ht="15" customHeight="1" x14ac:dyDescent="0.2">
      <c r="A107" s="14" t="s">
        <v>257</v>
      </c>
      <c r="B107" s="27">
        <f>-'Model Inputs'!B18</f>
        <v>-3106</v>
      </c>
    </row>
    <row r="108" spans="1:6" ht="15" customHeight="1" x14ac:dyDescent="0.2">
      <c r="A108" s="14" t="s">
        <v>258</v>
      </c>
      <c r="B108" s="27">
        <f>-'Model Inputs'!B116</f>
        <v>-1656.3100000000002</v>
      </c>
    </row>
    <row r="109" spans="1:6" ht="15" customHeight="1" x14ac:dyDescent="0.2">
      <c r="A109" s="14" t="s">
        <v>259</v>
      </c>
      <c r="B109" s="27">
        <f>-'Model Inputs'!B127</f>
        <v>-7159.4949110842726</v>
      </c>
    </row>
    <row r="110" spans="1:6" ht="15" customHeight="1" x14ac:dyDescent="0.2">
      <c r="A110" s="14" t="s">
        <v>260</v>
      </c>
      <c r="B110" s="27">
        <f>'Model Inputs'!B17</f>
        <v>0</v>
      </c>
    </row>
    <row r="111" spans="1:6" ht="15.75" customHeight="1" x14ac:dyDescent="0.2">
      <c r="A111" s="14" t="s">
        <v>261</v>
      </c>
      <c r="B111" s="27">
        <f>-'Model Inputs'!B14</f>
        <v>-14500</v>
      </c>
    </row>
    <row r="112" spans="1:6" ht="15.75" customHeight="1" x14ac:dyDescent="0.2">
      <c r="A112" s="25" t="s">
        <v>262</v>
      </c>
      <c r="B112" s="69">
        <f>SUM(B103:B111)</f>
        <v>83273.965188220565</v>
      </c>
    </row>
    <row r="113" spans="1:67" ht="15.75" customHeight="1" x14ac:dyDescent="0.2">
      <c r="A113" s="14" t="s">
        <v>156</v>
      </c>
      <c r="B113" s="27">
        <f>'Model Inputs'!B15</f>
        <v>2085.9720000000002</v>
      </c>
    </row>
    <row r="114" spans="1:67" ht="15.75" customHeight="1" x14ac:dyDescent="0.2">
      <c r="A114" s="25" t="s">
        <v>263</v>
      </c>
      <c r="B114" s="79">
        <f>B112/B113</f>
        <v>39.920941023283419</v>
      </c>
    </row>
    <row r="115" spans="1:67" ht="15.75" customHeight="1" x14ac:dyDescent="0.2">
      <c r="A115" s="1" t="s">
        <v>264</v>
      </c>
    </row>
    <row r="117" spans="1:67" ht="15.75" customHeight="1" x14ac:dyDescent="0.2">
      <c r="A117" s="80" t="s">
        <v>265</v>
      </c>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row>
    <row r="118" spans="1:67" ht="15.75" customHeight="1" x14ac:dyDescent="0.2">
      <c r="A118" s="12" t="s">
        <v>266</v>
      </c>
      <c r="B118" s="81">
        <f>SUM(C118:BO118)</f>
        <v>6897.7224561624043</v>
      </c>
      <c r="C118" s="82">
        <f>IF(C$5&lt;='Model Inputs'!$B$297,'Model Inputs'!$B$298*'Model Inputs'!$B$302*IF('Model Inputs'!$B$300=1,1.02^(C$5-1),1)+IF(C$5&gt;='Model Inputs'!$B$304,'Model Inputs'!$B$306,0),0)</f>
        <v>137.26667085664005</v>
      </c>
      <c r="D118" s="82">
        <f>IF(D$5&lt;='Model Inputs'!$B$297,'Model Inputs'!$B$298*'Model Inputs'!$B$302*IF('Model Inputs'!$B$300=1,1.02^(D$5-1),1)+IF(D$5&gt;='Model Inputs'!$B$304,'Model Inputs'!$B$306,0),0)</f>
        <v>140.01200427377285</v>
      </c>
      <c r="E118" s="82">
        <f>IF(E$5&lt;='Model Inputs'!$B$297,'Model Inputs'!$B$298*'Model Inputs'!$B$302*IF('Model Inputs'!$B$300=1,1.02^(E$5-1),1)+IF(E$5&gt;='Model Inputs'!$B$304,'Model Inputs'!$B$306,0),0)</f>
        <v>142.8122443592483</v>
      </c>
      <c r="F118" s="82">
        <f>IF(F$5&lt;='Model Inputs'!$B$297,'Model Inputs'!$B$298*'Model Inputs'!$B$302*IF('Model Inputs'!$B$300=1,1.02^(F$5-1),1)+IF(F$5&gt;='Model Inputs'!$B$304,'Model Inputs'!$B$306,0),0)</f>
        <v>145.66848924643327</v>
      </c>
      <c r="G118" s="82">
        <f>IF(G$5&lt;='Model Inputs'!$B$297,'Model Inputs'!$B$298*'Model Inputs'!$B$302*IF('Model Inputs'!$B$300=1,1.02^(G$5-1),1)+IF(G$5&gt;='Model Inputs'!$B$304,'Model Inputs'!$B$306,0),0)</f>
        <v>148.58185903136194</v>
      </c>
      <c r="H118" s="82">
        <f>IF(H$5&lt;='Model Inputs'!$B$297,'Model Inputs'!$B$298*'Model Inputs'!$B$302*IF('Model Inputs'!$B$300=1,1.02^(H$5-1),1)+IF(H$5&gt;='Model Inputs'!$B$304,'Model Inputs'!$B$306,0),0)</f>
        <v>151.55349621198917</v>
      </c>
      <c r="I118" s="82">
        <f>IF(I$5&lt;='Model Inputs'!$B$297,'Model Inputs'!$B$298*'Model Inputs'!$B$302*IF('Model Inputs'!$B$300=1,1.02^(I$5-1),1)+IF(I$5&gt;='Model Inputs'!$B$304,'Model Inputs'!$B$306,0),0)</f>
        <v>154.58456613622897</v>
      </c>
      <c r="J118" s="82">
        <f>IF(J$5&lt;='Model Inputs'!$B$297,'Model Inputs'!$B$298*'Model Inputs'!$B$302*IF('Model Inputs'!$B$300=1,1.02^(J$5-1),1)+IF(J$5&gt;='Model Inputs'!$B$304,'Model Inputs'!$B$306,0),0)</f>
        <v>157.6762574589535</v>
      </c>
      <c r="K118" s="82">
        <f>IF(K$5&lt;='Model Inputs'!$B$297,'Model Inputs'!$B$298*'Model Inputs'!$B$302*IF('Model Inputs'!$B$300=1,1.02^(K$5-1),1)+IF(K$5&gt;='Model Inputs'!$B$304,'Model Inputs'!$B$306,0),0)</f>
        <v>160.8297826081326</v>
      </c>
      <c r="L118" s="82">
        <f>IF(L$5&lt;='Model Inputs'!$B$297,'Model Inputs'!$B$298*'Model Inputs'!$B$302*IF('Model Inputs'!$B$300=1,1.02^(L$5-1),1)+IF(L$5&gt;='Model Inputs'!$B$304,'Model Inputs'!$B$306,0),0)</f>
        <v>164.04637826029526</v>
      </c>
      <c r="M118" s="82">
        <f>IF(M$5&lt;='Model Inputs'!$B$297,'Model Inputs'!$B$298*'Model Inputs'!$B$302*IF('Model Inputs'!$B$300=1,1.02^(M$5-1),1)+IF(M$5&gt;='Model Inputs'!$B$304,'Model Inputs'!$B$306,0),0)</f>
        <v>167.32730582550116</v>
      </c>
      <c r="N118" s="82">
        <f>IF(N$5&lt;='Model Inputs'!$B$297,'Model Inputs'!$B$298*'Model Inputs'!$B$302*IF('Model Inputs'!$B$300=1,1.02^(N$5-1),1)+IF(N$5&gt;='Model Inputs'!$B$304,'Model Inputs'!$B$306,0),0)</f>
        <v>457.08129448945976</v>
      </c>
      <c r="O118" s="82">
        <f>IF(O$5&lt;='Model Inputs'!$B$297,'Model Inputs'!$B$298*'Model Inputs'!$B$302*IF('Model Inputs'!$B$300=1,1.02^(O$5-1),1)+IF(O$5&gt;='Model Inputs'!$B$304,'Model Inputs'!$B$306,0),0)</f>
        <v>460.49477152830002</v>
      </c>
      <c r="P118" s="82">
        <f>IF(P$5&lt;='Model Inputs'!$B$297,'Model Inputs'!$B$298*'Model Inputs'!$B$302*IF('Model Inputs'!$B$300=1,1.02^(P$5-1),1)+IF(P$5&gt;='Model Inputs'!$B$304,'Model Inputs'!$B$306,0),0)</f>
        <v>463.97651810791706</v>
      </c>
      <c r="Q118" s="82">
        <f>IF(Q$5&lt;='Model Inputs'!$B$297,'Model Inputs'!$B$298*'Model Inputs'!$B$302*IF('Model Inputs'!$B$300=1,1.02^(Q$5-1),1)+IF(Q$5&gt;='Model Inputs'!$B$304,'Model Inputs'!$B$306,0),0)</f>
        <v>467.5278996191264</v>
      </c>
      <c r="R118" s="82">
        <f>IF(R$5&lt;='Model Inputs'!$B$297,'Model Inputs'!$B$298*'Model Inputs'!$B$302*IF('Model Inputs'!$B$300=1,1.02^(R$5-1),1)+IF(R$5&gt;='Model Inputs'!$B$304,'Model Inputs'!$B$306,0),0)</f>
        <v>471.15030876055994</v>
      </c>
      <c r="S118" s="82">
        <f>IF(S$5&lt;='Model Inputs'!$B$297,'Model Inputs'!$B$298*'Model Inputs'!$B$302*IF('Model Inputs'!$B$300=1,1.02^(S$5-1),1)+IF(S$5&gt;='Model Inputs'!$B$304,'Model Inputs'!$B$306,0),0)</f>
        <v>474.84516608482221</v>
      </c>
      <c r="T118" s="82">
        <f>IF(T$5&lt;='Model Inputs'!$B$297,'Model Inputs'!$B$298*'Model Inputs'!$B$302*IF('Model Inputs'!$B$300=1,1.02^(T$5-1),1)+IF(T$5&gt;='Model Inputs'!$B$304,'Model Inputs'!$B$306,0),0)</f>
        <v>478.61392055556968</v>
      </c>
      <c r="U118" s="82">
        <f>IF(U$5&lt;='Model Inputs'!$B$297,'Model Inputs'!$B$298*'Model Inputs'!$B$302*IF('Model Inputs'!$B$300=1,1.02^(U$5-1),1)+IF(U$5&gt;='Model Inputs'!$B$304,'Model Inputs'!$B$306,0),0)</f>
        <v>482.45805011573208</v>
      </c>
      <c r="V118" s="82">
        <f>IF(V$5&lt;='Model Inputs'!$B$297,'Model Inputs'!$B$298*'Model Inputs'!$B$302*IF('Model Inputs'!$B$300=1,1.02^(V$5-1),1)+IF(V$5&gt;='Model Inputs'!$B$304,'Model Inputs'!$B$306,0),0)</f>
        <v>486.37906226709777</v>
      </c>
      <c r="W118" s="82">
        <f>IF(W$5&lt;='Model Inputs'!$B$297,'Model Inputs'!$B$298*'Model Inputs'!$B$302*IF('Model Inputs'!$B$300=1,1.02^(W$5-1),1)+IF(W$5&gt;='Model Inputs'!$B$304,'Model Inputs'!$B$306,0),0)</f>
        <v>490.37849466149078</v>
      </c>
      <c r="X118" s="82">
        <f>IF(X$5&lt;='Model Inputs'!$B$297,'Model Inputs'!$B$298*'Model Inputs'!$B$302*IF('Model Inputs'!$B$300=1,1.02^(X$5-1),1)+IF(X$5&gt;='Model Inputs'!$B$304,'Model Inputs'!$B$306,0),0)</f>
        <v>494.45791570377162</v>
      </c>
      <c r="Y118" s="82">
        <f>IF(Y$5&lt;='Model Inputs'!$B$297,'Model Inputs'!$B$298*'Model Inputs'!$B$302*IF('Model Inputs'!$B$300=1,1.02^(Y$5-1),1)+IF(Y$5&gt;='Model Inputs'!$B$304,'Model Inputs'!$B$306,0),0)</f>
        <v>0</v>
      </c>
      <c r="Z118" s="82">
        <f>IF(Z$5&lt;='Model Inputs'!$B$297,'Model Inputs'!$B$298*'Model Inputs'!$B$302*IF('Model Inputs'!$B$300=1,1.02^(Z$5-1),1)+IF(Z$5&gt;='Model Inputs'!$B$304,'Model Inputs'!$B$306,0),0)</f>
        <v>0</v>
      </c>
      <c r="AA118" s="82">
        <f>IF(AA$5&lt;='Model Inputs'!$B$297,'Model Inputs'!$B$298*'Model Inputs'!$B$302*IF('Model Inputs'!$B$300=1,1.02^(AA$5-1),1)+IF(AA$5&gt;='Model Inputs'!$B$304,'Model Inputs'!$B$306,0),0)</f>
        <v>0</v>
      </c>
      <c r="AB118" s="82">
        <f>IF(AB$5&lt;='Model Inputs'!$B$297,'Model Inputs'!$B$298*'Model Inputs'!$B$302*IF('Model Inputs'!$B$300=1,1.02^(AB$5-1),1)+IF(AB$5&gt;='Model Inputs'!$B$304,'Model Inputs'!$B$306,0),0)</f>
        <v>0</v>
      </c>
      <c r="AC118" s="82">
        <f>IF(AC$5&lt;='Model Inputs'!$B$297,'Model Inputs'!$B$298*'Model Inputs'!$B$302*IF('Model Inputs'!$B$300=1,1.02^(AC$5-1),1)+IF(AC$5&gt;='Model Inputs'!$B$304,'Model Inputs'!$B$306,0),0)</f>
        <v>0</v>
      </c>
      <c r="AD118" s="82">
        <f>IF(AD$5&lt;='Model Inputs'!$B$297,'Model Inputs'!$B$298*'Model Inputs'!$B$302*IF('Model Inputs'!$B$300=1,1.02^(AD$5-1),1)+IF(AD$5&gt;='Model Inputs'!$B$304,'Model Inputs'!$B$306,0),0)</f>
        <v>0</v>
      </c>
      <c r="AE118" s="82">
        <f>IF(AE$5&lt;='Model Inputs'!$B$297,'Model Inputs'!$B$298*'Model Inputs'!$B$302*IF('Model Inputs'!$B$300=1,1.02^(AE$5-1),1)+IF(AE$5&gt;='Model Inputs'!$B$304,'Model Inputs'!$B$306,0),0)</f>
        <v>0</v>
      </c>
      <c r="AF118" s="82">
        <f>IF(AF$5&lt;='Model Inputs'!$B$297,'Model Inputs'!$B$298*'Model Inputs'!$B$302*IF('Model Inputs'!$B$300=1,1.02^(AF$5-1),1)+IF(AF$5&gt;='Model Inputs'!$B$304,'Model Inputs'!$B$306,0),0)</f>
        <v>0</v>
      </c>
      <c r="AG118" s="82">
        <f>IF(AG$5&lt;='Model Inputs'!$B$297,'Model Inputs'!$B$298*'Model Inputs'!$B$302*IF('Model Inputs'!$B$300=1,1.02^(AG$5-1),1)+IF(AG$5&gt;='Model Inputs'!$B$304,'Model Inputs'!$B$306,0),0)</f>
        <v>0</v>
      </c>
      <c r="AH118" s="82">
        <f>IF(AH$5&lt;='Model Inputs'!$B$297,'Model Inputs'!$B$298*'Model Inputs'!$B$302*IF('Model Inputs'!$B$300=1,1.02^(AH$5-1),1)+IF(AH$5&gt;='Model Inputs'!$B$304,'Model Inputs'!$B$306,0),0)</f>
        <v>0</v>
      </c>
      <c r="AI118" s="82">
        <f>IF(AI$5&lt;='Model Inputs'!$B$297,'Model Inputs'!$B$298*'Model Inputs'!$B$302*IF('Model Inputs'!$B$300=1,1.02^(AI$5-1),1)+IF(AI$5&gt;='Model Inputs'!$B$304,'Model Inputs'!$B$306,0),0)</f>
        <v>0</v>
      </c>
      <c r="AJ118" s="82">
        <f>IF(AJ$5&lt;='Model Inputs'!$B$297,'Model Inputs'!$B$298*'Model Inputs'!$B$302*IF('Model Inputs'!$B$300=1,1.02^(AJ$5-1),1)+IF(AJ$5&gt;='Model Inputs'!$B$304,'Model Inputs'!$B$306,0),0)</f>
        <v>0</v>
      </c>
      <c r="AK118" s="82">
        <f>IF(AK$5&lt;='Model Inputs'!$B$297,'Model Inputs'!$B$298*'Model Inputs'!$B$302*IF('Model Inputs'!$B$300=1,1.02^(AK$5-1),1)+IF(AK$5&gt;='Model Inputs'!$B$304,'Model Inputs'!$B$306,0),0)</f>
        <v>0</v>
      </c>
      <c r="AL118" s="82">
        <f>IF(AL$5&lt;='Model Inputs'!$B$297,'Model Inputs'!$B$298*'Model Inputs'!$B$302*IF('Model Inputs'!$B$300=1,1.02^(AL$5-1),1)+IF(AL$5&gt;='Model Inputs'!$B$304,'Model Inputs'!$B$306,0),0)</f>
        <v>0</v>
      </c>
      <c r="AM118" s="82">
        <f>IF(AM$5&lt;='Model Inputs'!$B$297,'Model Inputs'!$B$298*'Model Inputs'!$B$302*IF('Model Inputs'!$B$300=1,1.02^(AM$5-1),1)+IF(AM$5&gt;='Model Inputs'!$B$304,'Model Inputs'!$B$306,0),0)</f>
        <v>0</v>
      </c>
      <c r="AN118" s="82">
        <f>IF(AN$5&lt;='Model Inputs'!$B$297,'Model Inputs'!$B$298*'Model Inputs'!$B$302*IF('Model Inputs'!$B$300=1,1.02^(AN$5-1),1)+IF(AN$5&gt;='Model Inputs'!$B$304,'Model Inputs'!$B$306,0),0)</f>
        <v>0</v>
      </c>
      <c r="AO118" s="82">
        <f>IF(AO$5&lt;='Model Inputs'!$B$297,'Model Inputs'!$B$298*'Model Inputs'!$B$302*IF('Model Inputs'!$B$300=1,1.02^(AO$5-1),1)+IF(AO$5&gt;='Model Inputs'!$B$304,'Model Inputs'!$B$306,0),0)</f>
        <v>0</v>
      </c>
      <c r="AP118" s="82">
        <f>IF(AP$5&lt;='Model Inputs'!$B$297,'Model Inputs'!$B$298*'Model Inputs'!$B$302*IF('Model Inputs'!$B$300=1,1.02^(AP$5-1),1)+IF(AP$5&gt;='Model Inputs'!$B$304,'Model Inputs'!$B$306,0),0)</f>
        <v>0</v>
      </c>
      <c r="AQ118" s="82">
        <f>IF(AQ$5&lt;='Model Inputs'!$B$297,'Model Inputs'!$B$298*'Model Inputs'!$B$302*IF('Model Inputs'!$B$300=1,1.02^(AQ$5-1),1)+IF(AQ$5&gt;='Model Inputs'!$B$304,'Model Inputs'!$B$306,0),0)</f>
        <v>0</v>
      </c>
      <c r="AR118" s="82">
        <f>IF(AR$5&lt;='Model Inputs'!$B$297,'Model Inputs'!$B$298*'Model Inputs'!$B$302*IF('Model Inputs'!$B$300=1,1.02^(AR$5-1),1)+IF(AR$5&gt;='Model Inputs'!$B$304,'Model Inputs'!$B$306,0),0)</f>
        <v>0</v>
      </c>
      <c r="AS118" s="82">
        <f>IF(AS$5&lt;='Model Inputs'!$B$297,'Model Inputs'!$B$298*'Model Inputs'!$B$302*IF('Model Inputs'!$B$300=1,1.02^(AS$5-1),1)+IF(AS$5&gt;='Model Inputs'!$B$304,'Model Inputs'!$B$306,0),0)</f>
        <v>0</v>
      </c>
      <c r="AT118" s="82">
        <f>IF(AT$5&lt;='Model Inputs'!$B$297,'Model Inputs'!$B$298*'Model Inputs'!$B$302*IF('Model Inputs'!$B$300=1,1.02^(AT$5-1),1)+IF(AT$5&gt;='Model Inputs'!$B$304,'Model Inputs'!$B$306,0),0)</f>
        <v>0</v>
      </c>
      <c r="AU118" s="82">
        <f>IF(AU$5&lt;='Model Inputs'!$B$297,'Model Inputs'!$B$298*'Model Inputs'!$B$302*IF('Model Inputs'!$B$300=1,1.02^(AU$5-1),1)+IF(AU$5&gt;='Model Inputs'!$B$304,'Model Inputs'!$B$306,0),0)</f>
        <v>0</v>
      </c>
      <c r="AV118" s="82">
        <f>IF(AV$5&lt;='Model Inputs'!$B$297,'Model Inputs'!$B$298*'Model Inputs'!$B$302*IF('Model Inputs'!$B$300=1,1.02^(AV$5-1),1)+IF(AV$5&gt;='Model Inputs'!$B$304,'Model Inputs'!$B$306,0),0)</f>
        <v>0</v>
      </c>
      <c r="AW118" s="82">
        <f>IF(AW$5&lt;='Model Inputs'!$B$297,'Model Inputs'!$B$298*'Model Inputs'!$B$302*IF('Model Inputs'!$B$300=1,1.02^(AW$5-1),1)+IF(AW$5&gt;='Model Inputs'!$B$304,'Model Inputs'!$B$306,0),0)</f>
        <v>0</v>
      </c>
      <c r="AX118" s="82">
        <f>IF(AX$5&lt;='Model Inputs'!$B$297,'Model Inputs'!$B$298*'Model Inputs'!$B$302*IF('Model Inputs'!$B$300=1,1.02^(AX$5-1),1)+IF(AX$5&gt;='Model Inputs'!$B$304,'Model Inputs'!$B$306,0),0)</f>
        <v>0</v>
      </c>
      <c r="AY118" s="82">
        <f>IF(AY$5&lt;='Model Inputs'!$B$297,'Model Inputs'!$B$298*'Model Inputs'!$B$302*IF('Model Inputs'!$B$300=1,1.02^(AY$5-1),1)+IF(AY$5&gt;='Model Inputs'!$B$304,'Model Inputs'!$B$306,0),0)</f>
        <v>0</v>
      </c>
      <c r="AZ118" s="82">
        <f>IF(AZ$5&lt;='Model Inputs'!$B$297,'Model Inputs'!$B$298*'Model Inputs'!$B$302*IF('Model Inputs'!$B$300=1,1.02^(AZ$5-1),1)+IF(AZ$5&gt;='Model Inputs'!$B$304,'Model Inputs'!$B$306,0),0)</f>
        <v>0</v>
      </c>
      <c r="BA118" s="82">
        <f>IF(BA$5&lt;='Model Inputs'!$B$297,'Model Inputs'!$B$298*'Model Inputs'!$B$302*IF('Model Inputs'!$B$300=1,1.02^(BA$5-1),1)+IF(BA$5&gt;='Model Inputs'!$B$304,'Model Inputs'!$B$306,0),0)</f>
        <v>0</v>
      </c>
      <c r="BB118" s="82">
        <f>IF(BB$5&lt;='Model Inputs'!$B$297,'Model Inputs'!$B$298*'Model Inputs'!$B$302*IF('Model Inputs'!$B$300=1,1.02^(BB$5-1),1)+IF(BB$5&gt;='Model Inputs'!$B$304,'Model Inputs'!$B$306,0),0)</f>
        <v>0</v>
      </c>
      <c r="BC118" s="82">
        <f>IF(BC$5&lt;='Model Inputs'!$B$297,'Model Inputs'!$B$298*'Model Inputs'!$B$302*IF('Model Inputs'!$B$300=1,1.02^(BC$5-1),1)+IF(BC$5&gt;='Model Inputs'!$B$304,'Model Inputs'!$B$306,0),0)</f>
        <v>0</v>
      </c>
      <c r="BD118" s="82">
        <f>IF(BD$5&lt;='Model Inputs'!$B$297,'Model Inputs'!$B$298*'Model Inputs'!$B$302*IF('Model Inputs'!$B$300=1,1.02^(BD$5-1),1)+IF(BD$5&gt;='Model Inputs'!$B$304,'Model Inputs'!$B$306,0),0)</f>
        <v>0</v>
      </c>
      <c r="BE118" s="82">
        <f>IF(BE$5&lt;='Model Inputs'!$B$297,'Model Inputs'!$B$298*'Model Inputs'!$B$302*IF('Model Inputs'!$B$300=1,1.02^(BE$5-1),1)+IF(BE$5&gt;='Model Inputs'!$B$304,'Model Inputs'!$B$306,0),0)</f>
        <v>0</v>
      </c>
      <c r="BF118" s="82">
        <f>IF(BF$5&lt;='Model Inputs'!$B$297,'Model Inputs'!$B$298*'Model Inputs'!$B$302*IF('Model Inputs'!$B$300=1,1.02^(BF$5-1),1)+IF(BF$5&gt;='Model Inputs'!$B$304,'Model Inputs'!$B$306,0),0)</f>
        <v>0</v>
      </c>
      <c r="BG118" s="82">
        <f>IF(BG$5&lt;='Model Inputs'!$B$297,'Model Inputs'!$B$298*'Model Inputs'!$B$302*IF('Model Inputs'!$B$300=1,1.02^(BG$5-1),1)+IF(BG$5&gt;='Model Inputs'!$B$304,'Model Inputs'!$B$306,0),0)</f>
        <v>0</v>
      </c>
      <c r="BH118" s="82">
        <f>IF(BH$5&lt;='Model Inputs'!$B$297,'Model Inputs'!$B$298*'Model Inputs'!$B$302*IF('Model Inputs'!$B$300=1,1.02^(BH$5-1),1)+IF(BH$5&gt;='Model Inputs'!$B$304,'Model Inputs'!$B$306,0),0)</f>
        <v>0</v>
      </c>
      <c r="BI118" s="82">
        <f>IF(BI$5&lt;='Model Inputs'!$B$297,'Model Inputs'!$B$298*'Model Inputs'!$B$302*IF('Model Inputs'!$B$300=1,1.02^(BI$5-1),1)+IF(BI$5&gt;='Model Inputs'!$B$304,'Model Inputs'!$B$306,0),0)</f>
        <v>0</v>
      </c>
      <c r="BJ118" s="82">
        <f>IF(BJ$5&lt;='Model Inputs'!$B$297,'Model Inputs'!$B$298*'Model Inputs'!$B$302*IF('Model Inputs'!$B$300=1,1.02^(BJ$5-1),1)+IF(BJ$5&gt;='Model Inputs'!$B$304,'Model Inputs'!$B$306,0),0)</f>
        <v>0</v>
      </c>
      <c r="BK118" s="82">
        <f>IF(BK$5&lt;='Model Inputs'!$B$297,'Model Inputs'!$B$298*'Model Inputs'!$B$302*IF('Model Inputs'!$B$300=1,1.02^(BK$5-1),1)+IF(BK$5&gt;='Model Inputs'!$B$304,'Model Inputs'!$B$306,0),0)</f>
        <v>0</v>
      </c>
      <c r="BL118" s="82">
        <f>IF(BL$5&lt;='Model Inputs'!$B$297,'Model Inputs'!$B$298*'Model Inputs'!$B$302*IF('Model Inputs'!$B$300=1,1.02^(BL$5-1),1)+IF(BL$5&gt;='Model Inputs'!$B$304,'Model Inputs'!$B$306,0),0)</f>
        <v>0</v>
      </c>
      <c r="BM118" s="82">
        <f>IF(BM$5&lt;='Model Inputs'!$B$297,'Model Inputs'!$B$298*'Model Inputs'!$B$302*IF('Model Inputs'!$B$300=1,1.02^(BM$5-1),1)+IF(BM$5&gt;='Model Inputs'!$B$304,'Model Inputs'!$B$306,0),0)</f>
        <v>0</v>
      </c>
      <c r="BN118" s="82">
        <f>IF(BN$5&lt;='Model Inputs'!$B$297,'Model Inputs'!$B$298*'Model Inputs'!$B$302*IF('Model Inputs'!$B$300=1,1.02^(BN$5-1),1)+IF(BN$5&gt;='Model Inputs'!$B$304,'Model Inputs'!$B$306,0),0)</f>
        <v>0</v>
      </c>
      <c r="BO118" s="82">
        <f>IF(BO$5&lt;='Model Inputs'!$B$297,'Model Inputs'!$B$298*'Model Inputs'!$B$302*IF('Model Inputs'!$B$300=1,1.02^(BO$5-1),1)+IF(BO$5&gt;='Model Inputs'!$B$304,'Model Inputs'!$B$306,0),0)</f>
        <v>0</v>
      </c>
    </row>
    <row r="119" spans="1:67" ht="15.75" customHeight="1" x14ac:dyDescent="0.2">
      <c r="A119" s="12" t="s">
        <v>267</v>
      </c>
      <c r="B119" s="81">
        <f>SUM(C119:BO119)</f>
        <v>4995.5232229275334</v>
      </c>
      <c r="C119" s="82">
        <f>IF(C$5&lt;='Model Inputs'!$C$297,'Model Inputs'!$C$298*'Model Inputs'!$C$302*IF('Model Inputs'!$C$300=1,1.02^(C$5-1),1)+IF(C$5&gt;='Model Inputs'!$C$304,'Model Inputs'!$C$306,0),0)</f>
        <v>99.412356231537927</v>
      </c>
      <c r="D119" s="82">
        <f>IF(D$5&lt;='Model Inputs'!$C$297,'Model Inputs'!$C$298*'Model Inputs'!$C$302*IF('Model Inputs'!$C$300=1,1.02^(D$5-1),1)+IF(D$5&gt;='Model Inputs'!$C$304,'Model Inputs'!$C$306,0),0)</f>
        <v>99.412356231537927</v>
      </c>
      <c r="E119" s="82">
        <f>IF(E$5&lt;='Model Inputs'!$C$297,'Model Inputs'!$C$298*'Model Inputs'!$C$302*IF('Model Inputs'!$C$300=1,1.02^(E$5-1),1)+IF(E$5&gt;='Model Inputs'!$C$304,'Model Inputs'!$C$306,0),0)</f>
        <v>99.412356231537927</v>
      </c>
      <c r="F119" s="82">
        <f>IF(F$5&lt;='Model Inputs'!$C$297,'Model Inputs'!$C$298*'Model Inputs'!$C$302*IF('Model Inputs'!$C$300=1,1.02^(F$5-1),1)+IF(F$5&gt;='Model Inputs'!$C$304,'Model Inputs'!$C$306,0),0)</f>
        <v>99.412356231537927</v>
      </c>
      <c r="G119" s="82">
        <f>IF(G$5&lt;='Model Inputs'!$C$297,'Model Inputs'!$C$298*'Model Inputs'!$C$302*IF('Model Inputs'!$C$300=1,1.02^(G$5-1),1)+IF(G$5&gt;='Model Inputs'!$C$304,'Model Inputs'!$C$306,0),0)</f>
        <v>99.412356231537927</v>
      </c>
      <c r="H119" s="82">
        <f>IF(H$5&lt;='Model Inputs'!$C$297,'Model Inputs'!$C$298*'Model Inputs'!$C$302*IF('Model Inputs'!$C$300=1,1.02^(H$5-1),1)+IF(H$5&gt;='Model Inputs'!$C$304,'Model Inputs'!$C$306,0),0)</f>
        <v>99.412356231537927</v>
      </c>
      <c r="I119" s="82">
        <f>IF(I$5&lt;='Model Inputs'!$C$297,'Model Inputs'!$C$298*'Model Inputs'!$C$302*IF('Model Inputs'!$C$300=1,1.02^(I$5-1),1)+IF(I$5&gt;='Model Inputs'!$C$304,'Model Inputs'!$C$306,0),0)</f>
        <v>99.412356231537927</v>
      </c>
      <c r="J119" s="82">
        <f>IF(J$5&lt;='Model Inputs'!$C$297,'Model Inputs'!$C$298*'Model Inputs'!$C$302*IF('Model Inputs'!$C$300=1,1.02^(J$5-1),1)+IF(J$5&gt;='Model Inputs'!$C$304,'Model Inputs'!$C$306,0),0)</f>
        <v>99.412356231537927</v>
      </c>
      <c r="K119" s="82">
        <f>IF(K$5&lt;='Model Inputs'!$C$297,'Model Inputs'!$C$298*'Model Inputs'!$C$302*IF('Model Inputs'!$C$300=1,1.02^(K$5-1),1)+IF(K$5&gt;='Model Inputs'!$C$304,'Model Inputs'!$C$306,0),0)</f>
        <v>99.412356231537927</v>
      </c>
      <c r="L119" s="82">
        <f>IF(L$5&lt;='Model Inputs'!$C$297,'Model Inputs'!$C$298*'Model Inputs'!$C$302*IF('Model Inputs'!$C$300=1,1.02^(L$5-1),1)+IF(L$5&gt;='Model Inputs'!$C$304,'Model Inputs'!$C$306,0),0)</f>
        <v>99.412356231537927</v>
      </c>
      <c r="M119" s="82">
        <f>IF(M$5&lt;='Model Inputs'!$C$297,'Model Inputs'!$C$298*'Model Inputs'!$C$302*IF('Model Inputs'!$C$300=1,1.02^(M$5-1),1)+IF(M$5&gt;='Model Inputs'!$C$304,'Model Inputs'!$C$306,0),0)</f>
        <v>99.412356231537927</v>
      </c>
      <c r="N119" s="82">
        <f>IF(N$5&lt;='Model Inputs'!$C$297,'Model Inputs'!$C$298*'Model Inputs'!$C$302*IF('Model Inputs'!$C$300=1,1.02^(N$5-1),1)+IF(N$5&gt;='Model Inputs'!$C$304,'Model Inputs'!$C$306,0),0)</f>
        <v>99.412356231537927</v>
      </c>
      <c r="O119" s="82">
        <f>IF(O$5&lt;='Model Inputs'!$C$297,'Model Inputs'!$C$298*'Model Inputs'!$C$302*IF('Model Inputs'!$C$300=1,1.02^(O$5-1),1)+IF(O$5&gt;='Model Inputs'!$C$304,'Model Inputs'!$C$306,0),0)</f>
        <v>99.412356231537927</v>
      </c>
      <c r="P119" s="82">
        <f>IF(P$5&lt;='Model Inputs'!$C$297,'Model Inputs'!$C$298*'Model Inputs'!$C$302*IF('Model Inputs'!$C$300=1,1.02^(P$5-1),1)+IF(P$5&gt;='Model Inputs'!$C$304,'Model Inputs'!$C$306,0),0)</f>
        <v>99.412356231537927</v>
      </c>
      <c r="Q119" s="82">
        <f>IF(Q$5&lt;='Model Inputs'!$C$297,'Model Inputs'!$C$298*'Model Inputs'!$C$302*IF('Model Inputs'!$C$300=1,1.02^(Q$5-1),1)+IF(Q$5&gt;='Model Inputs'!$C$304,'Model Inputs'!$C$306,0),0)</f>
        <v>99.412356231537927</v>
      </c>
      <c r="R119" s="82">
        <f>IF(R$5&lt;='Model Inputs'!$C$297,'Model Inputs'!$C$298*'Model Inputs'!$C$302*IF('Model Inputs'!$C$300=1,1.02^(R$5-1),1)+IF(R$5&gt;='Model Inputs'!$C$304,'Model Inputs'!$C$306,0),0)</f>
        <v>99.412356231537927</v>
      </c>
      <c r="S119" s="82">
        <f>IF(S$5&lt;='Model Inputs'!$C$297,'Model Inputs'!$C$298*'Model Inputs'!$C$302*IF('Model Inputs'!$C$300=1,1.02^(S$5-1),1)+IF(S$5&gt;='Model Inputs'!$C$304,'Model Inputs'!$C$306,0),0)</f>
        <v>99.412356231537927</v>
      </c>
      <c r="T119" s="82">
        <f>IF(T$5&lt;='Model Inputs'!$C$297,'Model Inputs'!$C$298*'Model Inputs'!$C$302*IF('Model Inputs'!$C$300=1,1.02^(T$5-1),1)+IF(T$5&gt;='Model Inputs'!$C$304,'Model Inputs'!$C$306,0),0)</f>
        <v>99.412356231537927</v>
      </c>
      <c r="U119" s="82">
        <f>IF(U$5&lt;='Model Inputs'!$C$297,'Model Inputs'!$C$298*'Model Inputs'!$C$302*IF('Model Inputs'!$C$300=1,1.02^(U$5-1),1)+IF(U$5&gt;='Model Inputs'!$C$304,'Model Inputs'!$C$306,0),0)</f>
        <v>99.412356231537927</v>
      </c>
      <c r="V119" s="82">
        <f>IF(V$5&lt;='Model Inputs'!$C$297,'Model Inputs'!$C$298*'Model Inputs'!$C$302*IF('Model Inputs'!$C$300=1,1.02^(V$5-1),1)+IF(V$5&gt;='Model Inputs'!$C$304,'Model Inputs'!$C$306,0),0)</f>
        <v>163.50991865938494</v>
      </c>
      <c r="W119" s="82">
        <f>IF(W$5&lt;='Model Inputs'!$C$297,'Model Inputs'!$C$298*'Model Inputs'!$C$302*IF('Model Inputs'!$C$300=1,1.02^(W$5-1),1)+IF(W$5&gt;='Model Inputs'!$C$304,'Model Inputs'!$C$306,0),0)</f>
        <v>163.50991865938494</v>
      </c>
      <c r="X119" s="82">
        <f>IF(X$5&lt;='Model Inputs'!$C$297,'Model Inputs'!$C$298*'Model Inputs'!$C$302*IF('Model Inputs'!$C$300=1,1.02^(X$5-1),1)+IF(X$5&gt;='Model Inputs'!$C$304,'Model Inputs'!$C$306,0),0)</f>
        <v>163.50991865938494</v>
      </c>
      <c r="Y119" s="82">
        <f>IF(Y$5&lt;='Model Inputs'!$C$297,'Model Inputs'!$C$298*'Model Inputs'!$C$302*IF('Model Inputs'!$C$300=1,1.02^(Y$5-1),1)+IF(Y$5&gt;='Model Inputs'!$C$304,'Model Inputs'!$C$306,0),0)</f>
        <v>163.50991865938494</v>
      </c>
      <c r="Z119" s="82">
        <f>IF(Z$5&lt;='Model Inputs'!$C$297,'Model Inputs'!$C$298*'Model Inputs'!$C$302*IF('Model Inputs'!$C$300=1,1.02^(Z$5-1),1)+IF(Z$5&gt;='Model Inputs'!$C$304,'Model Inputs'!$C$306,0),0)</f>
        <v>163.50991865938494</v>
      </c>
      <c r="AA119" s="82">
        <f>IF(AA$5&lt;='Model Inputs'!$C$297,'Model Inputs'!$C$298*'Model Inputs'!$C$302*IF('Model Inputs'!$C$300=1,1.02^(AA$5-1),1)+IF(AA$5&gt;='Model Inputs'!$C$304,'Model Inputs'!$C$306,0),0)</f>
        <v>163.50991865938494</v>
      </c>
      <c r="AB119" s="82">
        <f>IF(AB$5&lt;='Model Inputs'!$C$297,'Model Inputs'!$C$298*'Model Inputs'!$C$302*IF('Model Inputs'!$C$300=1,1.02^(AB$5-1),1)+IF(AB$5&gt;='Model Inputs'!$C$304,'Model Inputs'!$C$306,0),0)</f>
        <v>163.50991865938494</v>
      </c>
      <c r="AC119" s="82">
        <f>IF(AC$5&lt;='Model Inputs'!$C$297,'Model Inputs'!$C$298*'Model Inputs'!$C$302*IF('Model Inputs'!$C$300=1,1.02^(AC$5-1),1)+IF(AC$5&gt;='Model Inputs'!$C$304,'Model Inputs'!$C$306,0),0)</f>
        <v>163.50991865938494</v>
      </c>
      <c r="AD119" s="82">
        <f>IF(AD$5&lt;='Model Inputs'!$C$297,'Model Inputs'!$C$298*'Model Inputs'!$C$302*IF('Model Inputs'!$C$300=1,1.02^(AD$5-1),1)+IF(AD$5&gt;='Model Inputs'!$C$304,'Model Inputs'!$C$306,0),0)</f>
        <v>163.50991865938494</v>
      </c>
      <c r="AE119" s="82">
        <f>IF(AE$5&lt;='Model Inputs'!$C$297,'Model Inputs'!$C$298*'Model Inputs'!$C$302*IF('Model Inputs'!$C$300=1,1.02^(AE$5-1),1)+IF(AE$5&gt;='Model Inputs'!$C$304,'Model Inputs'!$C$306,0),0)</f>
        <v>163.50991865938494</v>
      </c>
      <c r="AF119" s="82">
        <f>IF(AF$5&lt;='Model Inputs'!$C$297,'Model Inputs'!$C$298*'Model Inputs'!$C$302*IF('Model Inputs'!$C$300=1,1.02^(AF$5-1),1)+IF(AF$5&gt;='Model Inputs'!$C$304,'Model Inputs'!$C$306,0),0)</f>
        <v>163.50991865938494</v>
      </c>
      <c r="AG119" s="82">
        <f>IF(AG$5&lt;='Model Inputs'!$C$297,'Model Inputs'!$C$298*'Model Inputs'!$C$302*IF('Model Inputs'!$C$300=1,1.02^(AG$5-1),1)+IF(AG$5&gt;='Model Inputs'!$C$304,'Model Inputs'!$C$306,0),0)</f>
        <v>163.50991865938494</v>
      </c>
      <c r="AH119" s="82">
        <f>IF(AH$5&lt;='Model Inputs'!$C$297,'Model Inputs'!$C$298*'Model Inputs'!$C$302*IF('Model Inputs'!$C$300=1,1.02^(AH$5-1),1)+IF(AH$5&gt;='Model Inputs'!$C$304,'Model Inputs'!$C$306,0),0)</f>
        <v>163.50991865938494</v>
      </c>
      <c r="AI119" s="82">
        <f>IF(AI$5&lt;='Model Inputs'!$C$297,'Model Inputs'!$C$298*'Model Inputs'!$C$302*IF('Model Inputs'!$C$300=1,1.02^(AI$5-1),1)+IF(AI$5&gt;='Model Inputs'!$C$304,'Model Inputs'!$C$306,0),0)</f>
        <v>163.50991865938494</v>
      </c>
      <c r="AJ119" s="82">
        <f>IF(AJ$5&lt;='Model Inputs'!$C$297,'Model Inputs'!$C$298*'Model Inputs'!$C$302*IF('Model Inputs'!$C$300=1,1.02^(AJ$5-1),1)+IF(AJ$5&gt;='Model Inputs'!$C$304,'Model Inputs'!$C$306,0),0)</f>
        <v>163.50991865938494</v>
      </c>
      <c r="AK119" s="82">
        <f>IF(AK$5&lt;='Model Inputs'!$C$297,'Model Inputs'!$C$298*'Model Inputs'!$C$302*IF('Model Inputs'!$C$300=1,1.02^(AK$5-1),1)+IF(AK$5&gt;='Model Inputs'!$C$304,'Model Inputs'!$C$306,0),0)</f>
        <v>163.50991865938494</v>
      </c>
      <c r="AL119" s="82">
        <f>IF(AL$5&lt;='Model Inputs'!$C$297,'Model Inputs'!$C$298*'Model Inputs'!$C$302*IF('Model Inputs'!$C$300=1,1.02^(AL$5-1),1)+IF(AL$5&gt;='Model Inputs'!$C$304,'Model Inputs'!$C$306,0),0)</f>
        <v>163.50991865938494</v>
      </c>
      <c r="AM119" s="82">
        <f>IF(AM$5&lt;='Model Inputs'!$C$297,'Model Inputs'!$C$298*'Model Inputs'!$C$302*IF('Model Inputs'!$C$300=1,1.02^(AM$5-1),1)+IF(AM$5&gt;='Model Inputs'!$C$304,'Model Inputs'!$C$306,0),0)</f>
        <v>163.50991865938494</v>
      </c>
      <c r="AN119" s="82">
        <f>IF(AN$5&lt;='Model Inputs'!$C$297,'Model Inputs'!$C$298*'Model Inputs'!$C$302*IF('Model Inputs'!$C$300=1,1.02^(AN$5-1),1)+IF(AN$5&gt;='Model Inputs'!$C$304,'Model Inputs'!$C$306,0),0)</f>
        <v>163.50991865938494</v>
      </c>
      <c r="AO119" s="82">
        <f>IF(AO$5&lt;='Model Inputs'!$C$297,'Model Inputs'!$C$298*'Model Inputs'!$C$302*IF('Model Inputs'!$C$300=1,1.02^(AO$5-1),1)+IF(AO$5&gt;='Model Inputs'!$C$304,'Model Inputs'!$C$306,0),0)</f>
        <v>0</v>
      </c>
      <c r="AP119" s="82">
        <f>IF(AP$5&lt;='Model Inputs'!$C$297,'Model Inputs'!$C$298*'Model Inputs'!$C$302*IF('Model Inputs'!$C$300=1,1.02^(AP$5-1),1)+IF(AP$5&gt;='Model Inputs'!$C$304,'Model Inputs'!$C$306,0),0)</f>
        <v>0</v>
      </c>
      <c r="AQ119" s="82">
        <f>IF(AQ$5&lt;='Model Inputs'!$C$297,'Model Inputs'!$C$298*'Model Inputs'!$C$302*IF('Model Inputs'!$C$300=1,1.02^(AQ$5-1),1)+IF(AQ$5&gt;='Model Inputs'!$C$304,'Model Inputs'!$C$306,0),0)</f>
        <v>0</v>
      </c>
      <c r="AR119" s="82">
        <f>IF(AR$5&lt;='Model Inputs'!$C$297,'Model Inputs'!$C$298*'Model Inputs'!$C$302*IF('Model Inputs'!$C$300=1,1.02^(AR$5-1),1)+IF(AR$5&gt;='Model Inputs'!$C$304,'Model Inputs'!$C$306,0),0)</f>
        <v>0</v>
      </c>
      <c r="AS119" s="82">
        <f>IF(AS$5&lt;='Model Inputs'!$C$297,'Model Inputs'!$C$298*'Model Inputs'!$C$302*IF('Model Inputs'!$C$300=1,1.02^(AS$5-1),1)+IF(AS$5&gt;='Model Inputs'!$C$304,'Model Inputs'!$C$306,0),0)</f>
        <v>0</v>
      </c>
      <c r="AT119" s="82">
        <f>IF(AT$5&lt;='Model Inputs'!$C$297,'Model Inputs'!$C$298*'Model Inputs'!$C$302*IF('Model Inputs'!$C$300=1,1.02^(AT$5-1),1)+IF(AT$5&gt;='Model Inputs'!$C$304,'Model Inputs'!$C$306,0),0)</f>
        <v>0</v>
      </c>
      <c r="AU119" s="82">
        <f>IF(AU$5&lt;='Model Inputs'!$C$297,'Model Inputs'!$C$298*'Model Inputs'!$C$302*IF('Model Inputs'!$C$300=1,1.02^(AU$5-1),1)+IF(AU$5&gt;='Model Inputs'!$C$304,'Model Inputs'!$C$306,0),0)</f>
        <v>0</v>
      </c>
      <c r="AV119" s="82">
        <f>IF(AV$5&lt;='Model Inputs'!$C$297,'Model Inputs'!$C$298*'Model Inputs'!$C$302*IF('Model Inputs'!$C$300=1,1.02^(AV$5-1),1)+IF(AV$5&gt;='Model Inputs'!$C$304,'Model Inputs'!$C$306,0),0)</f>
        <v>0</v>
      </c>
      <c r="AW119" s="82">
        <f>IF(AW$5&lt;='Model Inputs'!$C$297,'Model Inputs'!$C$298*'Model Inputs'!$C$302*IF('Model Inputs'!$C$300=1,1.02^(AW$5-1),1)+IF(AW$5&gt;='Model Inputs'!$C$304,'Model Inputs'!$C$306,0),0)</f>
        <v>0</v>
      </c>
      <c r="AX119" s="82">
        <f>IF(AX$5&lt;='Model Inputs'!$C$297,'Model Inputs'!$C$298*'Model Inputs'!$C$302*IF('Model Inputs'!$C$300=1,1.02^(AX$5-1),1)+IF(AX$5&gt;='Model Inputs'!$C$304,'Model Inputs'!$C$306,0),0)</f>
        <v>0</v>
      </c>
      <c r="AY119" s="82">
        <f>IF(AY$5&lt;='Model Inputs'!$C$297,'Model Inputs'!$C$298*'Model Inputs'!$C$302*IF('Model Inputs'!$C$300=1,1.02^(AY$5-1),1)+IF(AY$5&gt;='Model Inputs'!$C$304,'Model Inputs'!$C$306,0),0)</f>
        <v>0</v>
      </c>
      <c r="AZ119" s="82">
        <f>IF(AZ$5&lt;='Model Inputs'!$C$297,'Model Inputs'!$C$298*'Model Inputs'!$C$302*IF('Model Inputs'!$C$300=1,1.02^(AZ$5-1),1)+IF(AZ$5&gt;='Model Inputs'!$C$304,'Model Inputs'!$C$306,0),0)</f>
        <v>0</v>
      </c>
      <c r="BA119" s="82">
        <f>IF(BA$5&lt;='Model Inputs'!$C$297,'Model Inputs'!$C$298*'Model Inputs'!$C$302*IF('Model Inputs'!$C$300=1,1.02^(BA$5-1),1)+IF(BA$5&gt;='Model Inputs'!$C$304,'Model Inputs'!$C$306,0),0)</f>
        <v>0</v>
      </c>
      <c r="BB119" s="82">
        <f>IF(BB$5&lt;='Model Inputs'!$C$297,'Model Inputs'!$C$298*'Model Inputs'!$C$302*IF('Model Inputs'!$C$300=1,1.02^(BB$5-1),1)+IF(BB$5&gt;='Model Inputs'!$C$304,'Model Inputs'!$C$306,0),0)</f>
        <v>0</v>
      </c>
      <c r="BC119" s="82">
        <f>IF(BC$5&lt;='Model Inputs'!$C$297,'Model Inputs'!$C$298*'Model Inputs'!$C$302*IF('Model Inputs'!$C$300=1,1.02^(BC$5-1),1)+IF(BC$5&gt;='Model Inputs'!$C$304,'Model Inputs'!$C$306,0),0)</f>
        <v>0</v>
      </c>
      <c r="BD119" s="82">
        <f>IF(BD$5&lt;='Model Inputs'!$C$297,'Model Inputs'!$C$298*'Model Inputs'!$C$302*IF('Model Inputs'!$C$300=1,1.02^(BD$5-1),1)+IF(BD$5&gt;='Model Inputs'!$C$304,'Model Inputs'!$C$306,0),0)</f>
        <v>0</v>
      </c>
      <c r="BE119" s="82">
        <f>IF(BE$5&lt;='Model Inputs'!$C$297,'Model Inputs'!$C$298*'Model Inputs'!$C$302*IF('Model Inputs'!$C$300=1,1.02^(BE$5-1),1)+IF(BE$5&gt;='Model Inputs'!$C$304,'Model Inputs'!$C$306,0),0)</f>
        <v>0</v>
      </c>
      <c r="BF119" s="82">
        <f>IF(BF$5&lt;='Model Inputs'!$C$297,'Model Inputs'!$C$298*'Model Inputs'!$C$302*IF('Model Inputs'!$C$300=1,1.02^(BF$5-1),1)+IF(BF$5&gt;='Model Inputs'!$C$304,'Model Inputs'!$C$306,0),0)</f>
        <v>0</v>
      </c>
      <c r="BG119" s="82">
        <f>IF(BG$5&lt;='Model Inputs'!$C$297,'Model Inputs'!$C$298*'Model Inputs'!$C$302*IF('Model Inputs'!$C$300=1,1.02^(BG$5-1),1)+IF(BG$5&gt;='Model Inputs'!$C$304,'Model Inputs'!$C$306,0),0)</f>
        <v>0</v>
      </c>
      <c r="BH119" s="82">
        <f>IF(BH$5&lt;='Model Inputs'!$C$297,'Model Inputs'!$C$298*'Model Inputs'!$C$302*IF('Model Inputs'!$C$300=1,1.02^(BH$5-1),1)+IF(BH$5&gt;='Model Inputs'!$C$304,'Model Inputs'!$C$306,0),0)</f>
        <v>0</v>
      </c>
      <c r="BI119" s="82">
        <f>IF(BI$5&lt;='Model Inputs'!$C$297,'Model Inputs'!$C$298*'Model Inputs'!$C$302*IF('Model Inputs'!$C$300=1,1.02^(BI$5-1),1)+IF(BI$5&gt;='Model Inputs'!$C$304,'Model Inputs'!$C$306,0),0)</f>
        <v>0</v>
      </c>
      <c r="BJ119" s="82">
        <f>IF(BJ$5&lt;='Model Inputs'!$C$297,'Model Inputs'!$C$298*'Model Inputs'!$C$302*IF('Model Inputs'!$C$300=1,1.02^(BJ$5-1),1)+IF(BJ$5&gt;='Model Inputs'!$C$304,'Model Inputs'!$C$306,0),0)</f>
        <v>0</v>
      </c>
      <c r="BK119" s="82">
        <f>IF(BK$5&lt;='Model Inputs'!$C$297,'Model Inputs'!$C$298*'Model Inputs'!$C$302*IF('Model Inputs'!$C$300=1,1.02^(BK$5-1),1)+IF(BK$5&gt;='Model Inputs'!$C$304,'Model Inputs'!$C$306,0),0)</f>
        <v>0</v>
      </c>
      <c r="BL119" s="82">
        <f>IF(BL$5&lt;='Model Inputs'!$C$297,'Model Inputs'!$C$298*'Model Inputs'!$C$302*IF('Model Inputs'!$C$300=1,1.02^(BL$5-1),1)+IF(BL$5&gt;='Model Inputs'!$C$304,'Model Inputs'!$C$306,0),0)</f>
        <v>0</v>
      </c>
      <c r="BM119" s="82">
        <f>IF(BM$5&lt;='Model Inputs'!$C$297,'Model Inputs'!$C$298*'Model Inputs'!$C$302*IF('Model Inputs'!$C$300=1,1.02^(BM$5-1),1)+IF(BM$5&gt;='Model Inputs'!$C$304,'Model Inputs'!$C$306,0),0)</f>
        <v>0</v>
      </c>
      <c r="BN119" s="82">
        <f>IF(BN$5&lt;='Model Inputs'!$C$297,'Model Inputs'!$C$298*'Model Inputs'!$C$302*IF('Model Inputs'!$C$300=1,1.02^(BN$5-1),1)+IF(BN$5&gt;='Model Inputs'!$C$304,'Model Inputs'!$C$306,0),0)</f>
        <v>0</v>
      </c>
      <c r="BO119" s="82">
        <f>IF(BO$5&lt;='Model Inputs'!$C$297,'Model Inputs'!$C$298*'Model Inputs'!$C$302*IF('Model Inputs'!$C$300=1,1.02^(BO$5-1),1)+IF(BO$5&gt;='Model Inputs'!$C$304,'Model Inputs'!$C$306,0),0)</f>
        <v>0</v>
      </c>
    </row>
    <row r="120" spans="1:67" ht="15.75" customHeight="1" x14ac:dyDescent="0.2">
      <c r="A120" s="12" t="s">
        <v>268</v>
      </c>
      <c r="B120" s="81">
        <f>SUM(C120:BO120)</f>
        <v>11975.75432091007</v>
      </c>
      <c r="C120" s="82">
        <f>IF(C$5&lt;='Model Inputs'!$D$297,'Model Inputs'!$D$298*'Model Inputs'!$D$302*IF('Model Inputs'!$D$300=1,1.02^(C$5-1),1)+IF(C$5&gt;='Model Inputs'!$D$304,'Model Inputs'!$D$306,0),0)</f>
        <v>238.320972911822</v>
      </c>
      <c r="D120" s="82">
        <f>IF(D$5&lt;='Model Inputs'!$D$297,'Model Inputs'!$D$298*'Model Inputs'!$D$302*IF('Model Inputs'!$D$300=1,1.02^(D$5-1),1)+IF(D$5&gt;='Model Inputs'!$D$304,'Model Inputs'!$D$306,0),0)</f>
        <v>238.320972911822</v>
      </c>
      <c r="E120" s="82">
        <f>IF(E$5&lt;='Model Inputs'!$D$297,'Model Inputs'!$D$298*'Model Inputs'!$D$302*IF('Model Inputs'!$D$300=1,1.02^(E$5-1),1)+IF(E$5&gt;='Model Inputs'!$D$304,'Model Inputs'!$D$306,0),0)</f>
        <v>238.320972911822</v>
      </c>
      <c r="F120" s="82">
        <f>IF(F$5&lt;='Model Inputs'!$D$297,'Model Inputs'!$D$298*'Model Inputs'!$D$302*IF('Model Inputs'!$D$300=1,1.02^(F$5-1),1)+IF(F$5&gt;='Model Inputs'!$D$304,'Model Inputs'!$D$306,0),0)</f>
        <v>238.320972911822</v>
      </c>
      <c r="G120" s="82">
        <f>IF(G$5&lt;='Model Inputs'!$D$297,'Model Inputs'!$D$298*'Model Inputs'!$D$302*IF('Model Inputs'!$D$300=1,1.02^(G$5-1),1)+IF(G$5&gt;='Model Inputs'!$D$304,'Model Inputs'!$D$306,0),0)</f>
        <v>238.320972911822</v>
      </c>
      <c r="H120" s="82">
        <f>IF(H$5&lt;='Model Inputs'!$D$297,'Model Inputs'!$D$298*'Model Inputs'!$D$302*IF('Model Inputs'!$D$300=1,1.02^(H$5-1),1)+IF(H$5&gt;='Model Inputs'!$D$304,'Model Inputs'!$D$306,0),0)</f>
        <v>238.320972911822</v>
      </c>
      <c r="I120" s="82">
        <f>IF(I$5&lt;='Model Inputs'!$D$297,'Model Inputs'!$D$298*'Model Inputs'!$D$302*IF('Model Inputs'!$D$300=1,1.02^(I$5-1),1)+IF(I$5&gt;='Model Inputs'!$D$304,'Model Inputs'!$D$306,0),0)</f>
        <v>238.320972911822</v>
      </c>
      <c r="J120" s="82">
        <f>IF(J$5&lt;='Model Inputs'!$D$297,'Model Inputs'!$D$298*'Model Inputs'!$D$302*IF('Model Inputs'!$D$300=1,1.02^(J$5-1),1)+IF(J$5&gt;='Model Inputs'!$D$304,'Model Inputs'!$D$306,0),0)</f>
        <v>238.320972911822</v>
      </c>
      <c r="K120" s="82">
        <f>IF(K$5&lt;='Model Inputs'!$D$297,'Model Inputs'!$D$298*'Model Inputs'!$D$302*IF('Model Inputs'!$D$300=1,1.02^(K$5-1),1)+IF(K$5&gt;='Model Inputs'!$D$304,'Model Inputs'!$D$306,0),0)</f>
        <v>238.320972911822</v>
      </c>
      <c r="L120" s="82">
        <f>IF(L$5&lt;='Model Inputs'!$D$297,'Model Inputs'!$D$298*'Model Inputs'!$D$302*IF('Model Inputs'!$D$300=1,1.02^(L$5-1),1)+IF(L$5&gt;='Model Inputs'!$D$304,'Model Inputs'!$D$306,0),0)</f>
        <v>238.320972911822</v>
      </c>
      <c r="M120" s="82">
        <f>IF(M$5&lt;='Model Inputs'!$D$297,'Model Inputs'!$D$298*'Model Inputs'!$D$302*IF('Model Inputs'!$D$300=1,1.02^(M$5-1),1)+IF(M$5&gt;='Model Inputs'!$D$304,'Model Inputs'!$D$306,0),0)</f>
        <v>238.320972911822</v>
      </c>
      <c r="N120" s="82">
        <f>IF(N$5&lt;='Model Inputs'!$D$297,'Model Inputs'!$D$298*'Model Inputs'!$D$302*IF('Model Inputs'!$D$300=1,1.02^(N$5-1),1)+IF(N$5&gt;='Model Inputs'!$D$304,'Model Inputs'!$D$306,0),0)</f>
        <v>238.320972911822</v>
      </c>
      <c r="O120" s="82">
        <f>IF(O$5&lt;='Model Inputs'!$D$297,'Model Inputs'!$D$298*'Model Inputs'!$D$302*IF('Model Inputs'!$D$300=1,1.02^(O$5-1),1)+IF(O$5&gt;='Model Inputs'!$D$304,'Model Inputs'!$D$306,0),0)</f>
        <v>238.320972911822</v>
      </c>
      <c r="P120" s="82">
        <f>IF(P$5&lt;='Model Inputs'!$D$297,'Model Inputs'!$D$298*'Model Inputs'!$D$302*IF('Model Inputs'!$D$300=1,1.02^(P$5-1),1)+IF(P$5&gt;='Model Inputs'!$D$304,'Model Inputs'!$D$306,0),0)</f>
        <v>238.320972911822</v>
      </c>
      <c r="Q120" s="82">
        <f>IF(Q$5&lt;='Model Inputs'!$D$297,'Model Inputs'!$D$298*'Model Inputs'!$D$302*IF('Model Inputs'!$D$300=1,1.02^(Q$5-1),1)+IF(Q$5&gt;='Model Inputs'!$D$304,'Model Inputs'!$D$306,0),0)</f>
        <v>238.320972911822</v>
      </c>
      <c r="R120" s="82">
        <f>IF(R$5&lt;='Model Inputs'!$D$297,'Model Inputs'!$D$298*'Model Inputs'!$D$302*IF('Model Inputs'!$D$300=1,1.02^(R$5-1),1)+IF(R$5&gt;='Model Inputs'!$D$304,'Model Inputs'!$D$306,0),0)</f>
        <v>238.320972911822</v>
      </c>
      <c r="S120" s="82">
        <f>IF(S$5&lt;='Model Inputs'!$D$297,'Model Inputs'!$D$298*'Model Inputs'!$D$302*IF('Model Inputs'!$D$300=1,1.02^(S$5-1),1)+IF(S$5&gt;='Model Inputs'!$D$304,'Model Inputs'!$D$306,0),0)</f>
        <v>238.320972911822</v>
      </c>
      <c r="T120" s="82">
        <f>IF(T$5&lt;='Model Inputs'!$D$297,'Model Inputs'!$D$298*'Model Inputs'!$D$302*IF('Model Inputs'!$D$300=1,1.02^(T$5-1),1)+IF(T$5&gt;='Model Inputs'!$D$304,'Model Inputs'!$D$306,0),0)</f>
        <v>238.320972911822</v>
      </c>
      <c r="U120" s="82">
        <f>IF(U$5&lt;='Model Inputs'!$D$297,'Model Inputs'!$D$298*'Model Inputs'!$D$302*IF('Model Inputs'!$D$300=1,1.02^(U$5-1),1)+IF(U$5&gt;='Model Inputs'!$D$304,'Model Inputs'!$D$306,0),0)</f>
        <v>238.320972911822</v>
      </c>
      <c r="V120" s="82">
        <f>IF(V$5&lt;='Model Inputs'!$D$297,'Model Inputs'!$D$298*'Model Inputs'!$D$302*IF('Model Inputs'!$D$300=1,1.02^(V$5-1),1)+IF(V$5&gt;='Model Inputs'!$D$304,'Model Inputs'!$D$306,0),0)</f>
        <v>238.320972911822</v>
      </c>
      <c r="W120" s="82">
        <f>IF(W$5&lt;='Model Inputs'!$D$297,'Model Inputs'!$D$298*'Model Inputs'!$D$302*IF('Model Inputs'!$D$300=1,1.02^(W$5-1),1)+IF(W$5&gt;='Model Inputs'!$D$304,'Model Inputs'!$D$306,0),0)</f>
        <v>238.320972911822</v>
      </c>
      <c r="X120" s="82">
        <f>IF(X$5&lt;='Model Inputs'!$D$297,'Model Inputs'!$D$298*'Model Inputs'!$D$302*IF('Model Inputs'!$D$300=1,1.02^(X$5-1),1)+IF(X$5&gt;='Model Inputs'!$D$304,'Model Inputs'!$D$306,0),0)</f>
        <v>348.55069448809002</v>
      </c>
      <c r="Y120" s="82">
        <f>IF(Y$5&lt;='Model Inputs'!$D$297,'Model Inputs'!$D$298*'Model Inputs'!$D$302*IF('Model Inputs'!$D$300=1,1.02^(Y$5-1),1)+IF(Y$5&gt;='Model Inputs'!$D$304,'Model Inputs'!$D$306,0),0)</f>
        <v>348.55069448809002</v>
      </c>
      <c r="Z120" s="82">
        <f>IF(Z$5&lt;='Model Inputs'!$D$297,'Model Inputs'!$D$298*'Model Inputs'!$D$302*IF('Model Inputs'!$D$300=1,1.02^(Z$5-1),1)+IF(Z$5&gt;='Model Inputs'!$D$304,'Model Inputs'!$D$306,0),0)</f>
        <v>348.55069448809002</v>
      </c>
      <c r="AA120" s="82">
        <f>IF(AA$5&lt;='Model Inputs'!$D$297,'Model Inputs'!$D$298*'Model Inputs'!$D$302*IF('Model Inputs'!$D$300=1,1.02^(AA$5-1),1)+IF(AA$5&gt;='Model Inputs'!$D$304,'Model Inputs'!$D$306,0),0)</f>
        <v>348.55069448809002</v>
      </c>
      <c r="AB120" s="82">
        <f>IF(AB$5&lt;='Model Inputs'!$D$297,'Model Inputs'!$D$298*'Model Inputs'!$D$302*IF('Model Inputs'!$D$300=1,1.02^(AB$5-1),1)+IF(AB$5&gt;='Model Inputs'!$D$304,'Model Inputs'!$D$306,0),0)</f>
        <v>348.55069448809002</v>
      </c>
      <c r="AC120" s="82">
        <f>IF(AC$5&lt;='Model Inputs'!$D$297,'Model Inputs'!$D$298*'Model Inputs'!$D$302*IF('Model Inputs'!$D$300=1,1.02^(AC$5-1),1)+IF(AC$5&gt;='Model Inputs'!$D$304,'Model Inputs'!$D$306,0),0)</f>
        <v>348.55069448809002</v>
      </c>
      <c r="AD120" s="82">
        <f>IF(AD$5&lt;='Model Inputs'!$D$297,'Model Inputs'!$D$298*'Model Inputs'!$D$302*IF('Model Inputs'!$D$300=1,1.02^(AD$5-1),1)+IF(AD$5&gt;='Model Inputs'!$D$304,'Model Inputs'!$D$306,0),0)</f>
        <v>348.55069448809002</v>
      </c>
      <c r="AE120" s="82">
        <f>IF(AE$5&lt;='Model Inputs'!$D$297,'Model Inputs'!$D$298*'Model Inputs'!$D$302*IF('Model Inputs'!$D$300=1,1.02^(AE$5-1),1)+IF(AE$5&gt;='Model Inputs'!$D$304,'Model Inputs'!$D$306,0),0)</f>
        <v>348.55069448809002</v>
      </c>
      <c r="AF120" s="82">
        <f>IF(AF$5&lt;='Model Inputs'!$D$297,'Model Inputs'!$D$298*'Model Inputs'!$D$302*IF('Model Inputs'!$D$300=1,1.02^(AF$5-1),1)+IF(AF$5&gt;='Model Inputs'!$D$304,'Model Inputs'!$D$306,0),0)</f>
        <v>348.55069448809002</v>
      </c>
      <c r="AG120" s="82">
        <f>IF(AG$5&lt;='Model Inputs'!$D$297,'Model Inputs'!$D$298*'Model Inputs'!$D$302*IF('Model Inputs'!$D$300=1,1.02^(AG$5-1),1)+IF(AG$5&gt;='Model Inputs'!$D$304,'Model Inputs'!$D$306,0),0)</f>
        <v>348.55069448809002</v>
      </c>
      <c r="AH120" s="82">
        <f>IF(AH$5&lt;='Model Inputs'!$D$297,'Model Inputs'!$D$298*'Model Inputs'!$D$302*IF('Model Inputs'!$D$300=1,1.02^(AH$5-1),1)+IF(AH$5&gt;='Model Inputs'!$D$304,'Model Inputs'!$D$306,0),0)</f>
        <v>348.55069448809002</v>
      </c>
      <c r="AI120" s="82">
        <f>IF(AI$5&lt;='Model Inputs'!$D$297,'Model Inputs'!$D$298*'Model Inputs'!$D$302*IF('Model Inputs'!$D$300=1,1.02^(AI$5-1),1)+IF(AI$5&gt;='Model Inputs'!$D$304,'Model Inputs'!$D$306,0),0)</f>
        <v>348.55069448809002</v>
      </c>
      <c r="AJ120" s="82">
        <f>IF(AJ$5&lt;='Model Inputs'!$D$297,'Model Inputs'!$D$298*'Model Inputs'!$D$302*IF('Model Inputs'!$D$300=1,1.02^(AJ$5-1),1)+IF(AJ$5&gt;='Model Inputs'!$D$304,'Model Inputs'!$D$306,0),0)</f>
        <v>348.55069448809002</v>
      </c>
      <c r="AK120" s="82">
        <f>IF(AK$5&lt;='Model Inputs'!$D$297,'Model Inputs'!$D$298*'Model Inputs'!$D$302*IF('Model Inputs'!$D$300=1,1.02^(AK$5-1),1)+IF(AK$5&gt;='Model Inputs'!$D$304,'Model Inputs'!$D$306,0),0)</f>
        <v>348.55069448809002</v>
      </c>
      <c r="AL120" s="82">
        <f>IF(AL$5&lt;='Model Inputs'!$D$297,'Model Inputs'!$D$298*'Model Inputs'!$D$302*IF('Model Inputs'!$D$300=1,1.02^(AL$5-1),1)+IF(AL$5&gt;='Model Inputs'!$D$304,'Model Inputs'!$D$306,0),0)</f>
        <v>348.55069448809002</v>
      </c>
      <c r="AM120" s="82">
        <f>IF(AM$5&lt;='Model Inputs'!$D$297,'Model Inputs'!$D$298*'Model Inputs'!$D$302*IF('Model Inputs'!$D$300=1,1.02^(AM$5-1),1)+IF(AM$5&gt;='Model Inputs'!$D$304,'Model Inputs'!$D$306,0),0)</f>
        <v>348.55069448809002</v>
      </c>
      <c r="AN120" s="82">
        <f>IF(AN$5&lt;='Model Inputs'!$D$297,'Model Inputs'!$D$298*'Model Inputs'!$D$302*IF('Model Inputs'!$D$300=1,1.02^(AN$5-1),1)+IF(AN$5&gt;='Model Inputs'!$D$304,'Model Inputs'!$D$306,0),0)</f>
        <v>348.55069448809002</v>
      </c>
      <c r="AO120" s="82">
        <f>IF(AO$5&lt;='Model Inputs'!$D$297,'Model Inputs'!$D$298*'Model Inputs'!$D$302*IF('Model Inputs'!$D$300=1,1.02^(AO$5-1),1)+IF(AO$5&gt;='Model Inputs'!$D$304,'Model Inputs'!$D$306,0),0)</f>
        <v>348.55069448809002</v>
      </c>
      <c r="AP120" s="82">
        <f>IF(AP$5&lt;='Model Inputs'!$D$297,'Model Inputs'!$D$298*'Model Inputs'!$D$302*IF('Model Inputs'!$D$300=1,1.02^(AP$5-1),1)+IF(AP$5&gt;='Model Inputs'!$D$304,'Model Inputs'!$D$306,0),0)</f>
        <v>348.55069448809002</v>
      </c>
      <c r="AQ120" s="82">
        <f>IF(AQ$5&lt;='Model Inputs'!$D$297,'Model Inputs'!$D$298*'Model Inputs'!$D$302*IF('Model Inputs'!$D$300=1,1.02^(AQ$5-1),1)+IF(AQ$5&gt;='Model Inputs'!$D$304,'Model Inputs'!$D$306,0),0)</f>
        <v>348.55069448809002</v>
      </c>
      <c r="AR120" s="82">
        <f>IF(AR$5&lt;='Model Inputs'!$D$297,'Model Inputs'!$D$298*'Model Inputs'!$D$302*IF('Model Inputs'!$D$300=1,1.02^(AR$5-1),1)+IF(AR$5&gt;='Model Inputs'!$D$304,'Model Inputs'!$D$306,0),0)</f>
        <v>0</v>
      </c>
      <c r="AS120" s="82">
        <f>IF(AS$5&lt;='Model Inputs'!$D$297,'Model Inputs'!$D$298*'Model Inputs'!$D$302*IF('Model Inputs'!$D$300=1,1.02^(AS$5-1),1)+IF(AS$5&gt;='Model Inputs'!$D$304,'Model Inputs'!$D$306,0),0)</f>
        <v>0</v>
      </c>
      <c r="AT120" s="82">
        <f>IF(AT$5&lt;='Model Inputs'!$D$297,'Model Inputs'!$D$298*'Model Inputs'!$D$302*IF('Model Inputs'!$D$300=1,1.02^(AT$5-1),1)+IF(AT$5&gt;='Model Inputs'!$D$304,'Model Inputs'!$D$306,0),0)</f>
        <v>0</v>
      </c>
      <c r="AU120" s="82">
        <f>IF(AU$5&lt;='Model Inputs'!$D$297,'Model Inputs'!$D$298*'Model Inputs'!$D$302*IF('Model Inputs'!$D$300=1,1.02^(AU$5-1),1)+IF(AU$5&gt;='Model Inputs'!$D$304,'Model Inputs'!$D$306,0),0)</f>
        <v>0</v>
      </c>
      <c r="AV120" s="82">
        <f>IF(AV$5&lt;='Model Inputs'!$D$297,'Model Inputs'!$D$298*'Model Inputs'!$D$302*IF('Model Inputs'!$D$300=1,1.02^(AV$5-1),1)+IF(AV$5&gt;='Model Inputs'!$D$304,'Model Inputs'!$D$306,0),0)</f>
        <v>0</v>
      </c>
      <c r="AW120" s="82">
        <f>IF(AW$5&lt;='Model Inputs'!$D$297,'Model Inputs'!$D$298*'Model Inputs'!$D$302*IF('Model Inputs'!$D$300=1,1.02^(AW$5-1),1)+IF(AW$5&gt;='Model Inputs'!$D$304,'Model Inputs'!$D$306,0),0)</f>
        <v>0</v>
      </c>
      <c r="AX120" s="82">
        <f>IF(AX$5&lt;='Model Inputs'!$D$297,'Model Inputs'!$D$298*'Model Inputs'!$D$302*IF('Model Inputs'!$D$300=1,1.02^(AX$5-1),1)+IF(AX$5&gt;='Model Inputs'!$D$304,'Model Inputs'!$D$306,0),0)</f>
        <v>0</v>
      </c>
      <c r="AY120" s="82">
        <f>IF(AY$5&lt;='Model Inputs'!$D$297,'Model Inputs'!$D$298*'Model Inputs'!$D$302*IF('Model Inputs'!$D$300=1,1.02^(AY$5-1),1)+IF(AY$5&gt;='Model Inputs'!$D$304,'Model Inputs'!$D$306,0),0)</f>
        <v>0</v>
      </c>
      <c r="AZ120" s="82">
        <f>IF(AZ$5&lt;='Model Inputs'!$D$297,'Model Inputs'!$D$298*'Model Inputs'!$D$302*IF('Model Inputs'!$D$300=1,1.02^(AZ$5-1),1)+IF(AZ$5&gt;='Model Inputs'!$D$304,'Model Inputs'!$D$306,0),0)</f>
        <v>0</v>
      </c>
      <c r="BA120" s="82">
        <f>IF(BA$5&lt;='Model Inputs'!$D$297,'Model Inputs'!$D$298*'Model Inputs'!$D$302*IF('Model Inputs'!$D$300=1,1.02^(BA$5-1),1)+IF(BA$5&gt;='Model Inputs'!$D$304,'Model Inputs'!$D$306,0),0)</f>
        <v>0</v>
      </c>
      <c r="BB120" s="82">
        <f>IF(BB$5&lt;='Model Inputs'!$D$297,'Model Inputs'!$D$298*'Model Inputs'!$D$302*IF('Model Inputs'!$D$300=1,1.02^(BB$5-1),1)+IF(BB$5&gt;='Model Inputs'!$D$304,'Model Inputs'!$D$306,0),0)</f>
        <v>0</v>
      </c>
      <c r="BC120" s="82">
        <f>IF(BC$5&lt;='Model Inputs'!$D$297,'Model Inputs'!$D$298*'Model Inputs'!$D$302*IF('Model Inputs'!$D$300=1,1.02^(BC$5-1),1)+IF(BC$5&gt;='Model Inputs'!$D$304,'Model Inputs'!$D$306,0),0)</f>
        <v>0</v>
      </c>
      <c r="BD120" s="82">
        <f>IF(BD$5&lt;='Model Inputs'!$D$297,'Model Inputs'!$D$298*'Model Inputs'!$D$302*IF('Model Inputs'!$D$300=1,1.02^(BD$5-1),1)+IF(BD$5&gt;='Model Inputs'!$D$304,'Model Inputs'!$D$306,0),0)</f>
        <v>0</v>
      </c>
      <c r="BE120" s="82">
        <f>IF(BE$5&lt;='Model Inputs'!$D$297,'Model Inputs'!$D$298*'Model Inputs'!$D$302*IF('Model Inputs'!$D$300=1,1.02^(BE$5-1),1)+IF(BE$5&gt;='Model Inputs'!$D$304,'Model Inputs'!$D$306,0),0)</f>
        <v>0</v>
      </c>
      <c r="BF120" s="82">
        <f>IF(BF$5&lt;='Model Inputs'!$D$297,'Model Inputs'!$D$298*'Model Inputs'!$D$302*IF('Model Inputs'!$D$300=1,1.02^(BF$5-1),1)+IF(BF$5&gt;='Model Inputs'!$D$304,'Model Inputs'!$D$306,0),0)</f>
        <v>0</v>
      </c>
      <c r="BG120" s="82">
        <f>IF(BG$5&lt;='Model Inputs'!$D$297,'Model Inputs'!$D$298*'Model Inputs'!$D$302*IF('Model Inputs'!$D$300=1,1.02^(BG$5-1),1)+IF(BG$5&gt;='Model Inputs'!$D$304,'Model Inputs'!$D$306,0),0)</f>
        <v>0</v>
      </c>
      <c r="BH120" s="82">
        <f>IF(BH$5&lt;='Model Inputs'!$D$297,'Model Inputs'!$D$298*'Model Inputs'!$D$302*IF('Model Inputs'!$D$300=1,1.02^(BH$5-1),1)+IF(BH$5&gt;='Model Inputs'!$D$304,'Model Inputs'!$D$306,0),0)</f>
        <v>0</v>
      </c>
      <c r="BI120" s="82">
        <f>IF(BI$5&lt;='Model Inputs'!$D$297,'Model Inputs'!$D$298*'Model Inputs'!$D$302*IF('Model Inputs'!$D$300=1,1.02^(BI$5-1),1)+IF(BI$5&gt;='Model Inputs'!$D$304,'Model Inputs'!$D$306,0),0)</f>
        <v>0</v>
      </c>
      <c r="BJ120" s="82">
        <f>IF(BJ$5&lt;='Model Inputs'!$D$297,'Model Inputs'!$D$298*'Model Inputs'!$D$302*IF('Model Inputs'!$D$300=1,1.02^(BJ$5-1),1)+IF(BJ$5&gt;='Model Inputs'!$D$304,'Model Inputs'!$D$306,0),0)</f>
        <v>0</v>
      </c>
      <c r="BK120" s="82">
        <f>IF(BK$5&lt;='Model Inputs'!$D$297,'Model Inputs'!$D$298*'Model Inputs'!$D$302*IF('Model Inputs'!$D$300=1,1.02^(BK$5-1),1)+IF(BK$5&gt;='Model Inputs'!$D$304,'Model Inputs'!$D$306,0),0)</f>
        <v>0</v>
      </c>
      <c r="BL120" s="82">
        <f>IF(BL$5&lt;='Model Inputs'!$D$297,'Model Inputs'!$D$298*'Model Inputs'!$D$302*IF('Model Inputs'!$D$300=1,1.02^(BL$5-1),1)+IF(BL$5&gt;='Model Inputs'!$D$304,'Model Inputs'!$D$306,0),0)</f>
        <v>0</v>
      </c>
      <c r="BM120" s="82">
        <f>IF(BM$5&lt;='Model Inputs'!$D$297,'Model Inputs'!$D$298*'Model Inputs'!$D$302*IF('Model Inputs'!$D$300=1,1.02^(BM$5-1),1)+IF(BM$5&gt;='Model Inputs'!$D$304,'Model Inputs'!$D$306,0),0)</f>
        <v>0</v>
      </c>
      <c r="BN120" s="82">
        <f>IF(BN$5&lt;='Model Inputs'!$D$297,'Model Inputs'!$D$298*'Model Inputs'!$D$302*IF('Model Inputs'!$D$300=1,1.02^(BN$5-1),1)+IF(BN$5&gt;='Model Inputs'!$D$304,'Model Inputs'!$D$306,0),0)</f>
        <v>0</v>
      </c>
      <c r="BO120" s="82">
        <f>IF(BO$5&lt;='Model Inputs'!$D$297,'Model Inputs'!$D$298*'Model Inputs'!$D$302*IF('Model Inputs'!$D$300=1,1.02^(BO$5-1),1)+IF(BO$5&gt;='Model Inputs'!$D$304,'Model Inputs'!$D$306,0),0)</f>
        <v>0</v>
      </c>
    </row>
    <row r="121" spans="1:67" ht="15.75" customHeight="1" x14ac:dyDescent="0.2">
      <c r="A121" s="11" t="s">
        <v>269</v>
      </c>
      <c r="B121" s="83">
        <f>SUM(C121:BO121)</f>
        <v>23868.999999999993</v>
      </c>
      <c r="C121" s="83">
        <f t="shared" ref="C121:AH121" si="57">SUM(C118:C120)</f>
        <v>475</v>
      </c>
      <c r="D121" s="83">
        <f t="shared" si="57"/>
        <v>477.74533341713277</v>
      </c>
      <c r="E121" s="83">
        <f t="shared" si="57"/>
        <v>480.54557350260825</v>
      </c>
      <c r="F121" s="83">
        <f t="shared" si="57"/>
        <v>483.40181838979322</v>
      </c>
      <c r="G121" s="83">
        <f t="shared" si="57"/>
        <v>486.31518817472187</v>
      </c>
      <c r="H121" s="83">
        <f t="shared" si="57"/>
        <v>489.28682535534909</v>
      </c>
      <c r="I121" s="83">
        <f t="shared" si="57"/>
        <v>492.31789527958892</v>
      </c>
      <c r="J121" s="83">
        <f t="shared" si="57"/>
        <v>495.40958660231342</v>
      </c>
      <c r="K121" s="83">
        <f t="shared" si="57"/>
        <v>498.56311175149256</v>
      </c>
      <c r="L121" s="83">
        <f t="shared" si="57"/>
        <v>501.77970740365515</v>
      </c>
      <c r="M121" s="83">
        <f t="shared" si="57"/>
        <v>505.06063496886111</v>
      </c>
      <c r="N121" s="83">
        <f t="shared" si="57"/>
        <v>794.81462363281969</v>
      </c>
      <c r="O121" s="83">
        <f t="shared" si="57"/>
        <v>798.22810067165994</v>
      </c>
      <c r="P121" s="83">
        <f t="shared" si="57"/>
        <v>801.70984725127698</v>
      </c>
      <c r="Q121" s="83">
        <f t="shared" si="57"/>
        <v>805.26122876248633</v>
      </c>
      <c r="R121" s="83">
        <f t="shared" si="57"/>
        <v>808.88363790391986</v>
      </c>
      <c r="S121" s="83">
        <f t="shared" si="57"/>
        <v>812.57849522818208</v>
      </c>
      <c r="T121" s="83">
        <f t="shared" si="57"/>
        <v>816.34724969892955</v>
      </c>
      <c r="U121" s="83">
        <f t="shared" si="57"/>
        <v>820.19137925909195</v>
      </c>
      <c r="V121" s="83">
        <f t="shared" si="57"/>
        <v>888.20995383830461</v>
      </c>
      <c r="W121" s="83">
        <f t="shared" si="57"/>
        <v>892.20938623269774</v>
      </c>
      <c r="X121" s="83">
        <f t="shared" si="57"/>
        <v>1006.5185288512465</v>
      </c>
      <c r="Y121" s="83">
        <f t="shared" si="57"/>
        <v>512.0606131474749</v>
      </c>
      <c r="Z121" s="83">
        <f t="shared" si="57"/>
        <v>512.0606131474749</v>
      </c>
      <c r="AA121" s="83">
        <f t="shared" si="57"/>
        <v>512.0606131474749</v>
      </c>
      <c r="AB121" s="83">
        <f t="shared" si="57"/>
        <v>512.0606131474749</v>
      </c>
      <c r="AC121" s="83">
        <f t="shared" si="57"/>
        <v>512.0606131474749</v>
      </c>
      <c r="AD121" s="83">
        <f t="shared" si="57"/>
        <v>512.0606131474749</v>
      </c>
      <c r="AE121" s="83">
        <f t="shared" si="57"/>
        <v>512.0606131474749</v>
      </c>
      <c r="AF121" s="83">
        <f t="shared" si="57"/>
        <v>512.0606131474749</v>
      </c>
      <c r="AG121" s="83">
        <f t="shared" si="57"/>
        <v>512.0606131474749</v>
      </c>
      <c r="AH121" s="83">
        <f t="shared" si="57"/>
        <v>512.0606131474749</v>
      </c>
      <c r="AI121" s="83">
        <f t="shared" ref="AI121:BN121" si="58">SUM(AI118:AI120)</f>
        <v>512.0606131474749</v>
      </c>
      <c r="AJ121" s="83">
        <f t="shared" si="58"/>
        <v>512.0606131474749</v>
      </c>
      <c r="AK121" s="83">
        <f t="shared" si="58"/>
        <v>512.0606131474749</v>
      </c>
      <c r="AL121" s="83">
        <f t="shared" si="58"/>
        <v>512.0606131474749</v>
      </c>
      <c r="AM121" s="83">
        <f t="shared" si="58"/>
        <v>512.0606131474749</v>
      </c>
      <c r="AN121" s="83">
        <f t="shared" si="58"/>
        <v>512.0606131474749</v>
      </c>
      <c r="AO121" s="83">
        <f t="shared" si="58"/>
        <v>348.55069448809002</v>
      </c>
      <c r="AP121" s="83">
        <f t="shared" si="58"/>
        <v>348.55069448809002</v>
      </c>
      <c r="AQ121" s="83">
        <f t="shared" si="58"/>
        <v>348.55069448809002</v>
      </c>
      <c r="AR121" s="83">
        <f t="shared" si="58"/>
        <v>0</v>
      </c>
      <c r="AS121" s="83">
        <f t="shared" si="58"/>
        <v>0</v>
      </c>
      <c r="AT121" s="83">
        <f t="shared" si="58"/>
        <v>0</v>
      </c>
      <c r="AU121" s="83">
        <f t="shared" si="58"/>
        <v>0</v>
      </c>
      <c r="AV121" s="83">
        <f t="shared" si="58"/>
        <v>0</v>
      </c>
      <c r="AW121" s="83">
        <f t="shared" si="58"/>
        <v>0</v>
      </c>
      <c r="AX121" s="83">
        <f t="shared" si="58"/>
        <v>0</v>
      </c>
      <c r="AY121" s="83">
        <f t="shared" si="58"/>
        <v>0</v>
      </c>
      <c r="AZ121" s="83">
        <f t="shared" si="58"/>
        <v>0</v>
      </c>
      <c r="BA121" s="83">
        <f t="shared" si="58"/>
        <v>0</v>
      </c>
      <c r="BB121" s="83">
        <f t="shared" si="58"/>
        <v>0</v>
      </c>
      <c r="BC121" s="83">
        <f t="shared" si="58"/>
        <v>0</v>
      </c>
      <c r="BD121" s="83">
        <f t="shared" si="58"/>
        <v>0</v>
      </c>
      <c r="BE121" s="83">
        <f t="shared" si="58"/>
        <v>0</v>
      </c>
      <c r="BF121" s="83">
        <f t="shared" si="58"/>
        <v>0</v>
      </c>
      <c r="BG121" s="83">
        <f t="shared" si="58"/>
        <v>0</v>
      </c>
      <c r="BH121" s="83">
        <f t="shared" si="58"/>
        <v>0</v>
      </c>
      <c r="BI121" s="83">
        <f t="shared" si="58"/>
        <v>0</v>
      </c>
      <c r="BJ121" s="83">
        <f t="shared" si="58"/>
        <v>0</v>
      </c>
      <c r="BK121" s="83">
        <f t="shared" si="58"/>
        <v>0</v>
      </c>
      <c r="BL121" s="83">
        <f t="shared" si="58"/>
        <v>0</v>
      </c>
      <c r="BM121" s="83">
        <f t="shared" si="58"/>
        <v>0</v>
      </c>
      <c r="BN121" s="83">
        <f t="shared" si="58"/>
        <v>0</v>
      </c>
      <c r="BO121" s="83">
        <f t="shared" ref="BO121" si="59">SUM(BO118:BO120)</f>
        <v>0</v>
      </c>
    </row>
    <row r="122" spans="1:67" ht="15.75" customHeight="1" x14ac:dyDescent="0.2">
      <c r="A122" s="17" t="s">
        <v>746</v>
      </c>
    </row>
    <row r="124" spans="1:67" ht="28" x14ac:dyDescent="0.2">
      <c r="A124" s="5" t="s">
        <v>270</v>
      </c>
    </row>
    <row r="125" spans="1:67" x14ac:dyDescent="0.2">
      <c r="A125" s="5" t="s">
        <v>271</v>
      </c>
      <c r="C125" s="27">
        <f>'Model Inputs'!$B$282</f>
        <v>79841</v>
      </c>
      <c r="D125" s="27">
        <f t="shared" ref="D125:AI125" si="60">C129</f>
        <v>75485.854070529836</v>
      </c>
      <c r="E125" s="27">
        <f t="shared" si="60"/>
        <v>71907.372196037279</v>
      </c>
      <c r="F125" s="27">
        <f t="shared" si="60"/>
        <v>68503.003716995358</v>
      </c>
      <c r="G125" s="27">
        <f t="shared" si="60"/>
        <v>66448.759673214314</v>
      </c>
      <c r="H125" s="27">
        <f t="shared" si="60"/>
        <v>63121.190125000998</v>
      </c>
      <c r="I125" s="27">
        <f t="shared" si="60"/>
        <v>54434.307067766669</v>
      </c>
      <c r="J125" s="27">
        <f t="shared" si="60"/>
        <v>45414.787551105612</v>
      </c>
      <c r="K125" s="27">
        <f t="shared" si="60"/>
        <v>36266.39091341204</v>
      </c>
      <c r="L125" s="27">
        <f t="shared" si="60"/>
        <v>29405.093435141862</v>
      </c>
      <c r="M125" s="27">
        <f t="shared" si="60"/>
        <v>24259.120326439224</v>
      </c>
      <c r="N125" s="27">
        <f t="shared" si="60"/>
        <v>20399.640494912248</v>
      </c>
      <c r="O125" s="27">
        <f t="shared" si="60"/>
        <v>17505.030621267015</v>
      </c>
      <c r="P125" s="27">
        <f t="shared" si="60"/>
        <v>15334.073216033092</v>
      </c>
      <c r="Q125" s="27">
        <f t="shared" si="60"/>
        <v>13705.855162107648</v>
      </c>
      <c r="R125" s="27">
        <f t="shared" si="60"/>
        <v>12484.691621663565</v>
      </c>
      <c r="S125" s="27">
        <f t="shared" si="60"/>
        <v>11568.818966330504</v>
      </c>
      <c r="T125" s="27">
        <f t="shared" si="60"/>
        <v>10881.914474830708</v>
      </c>
      <c r="U125" s="27">
        <f t="shared" si="60"/>
        <v>10366.736106205861</v>
      </c>
      <c r="V125" s="27">
        <f t="shared" si="60"/>
        <v>9980.3523297372249</v>
      </c>
      <c r="W125" s="27">
        <f t="shared" si="60"/>
        <v>9690.5644973857488</v>
      </c>
      <c r="X125" s="27">
        <f t="shared" si="60"/>
        <v>9473.2236231221414</v>
      </c>
      <c r="Y125" s="27">
        <f t="shared" si="60"/>
        <v>9047.8347621163575</v>
      </c>
      <c r="Z125" s="27">
        <f t="shared" si="60"/>
        <v>8055.9902270612765</v>
      </c>
      <c r="AA125" s="27">
        <f t="shared" si="60"/>
        <v>7312.1068257699662</v>
      </c>
      <c r="AB125" s="27">
        <f t="shared" si="60"/>
        <v>6754.1942748014826</v>
      </c>
      <c r="AC125" s="27">
        <f t="shared" si="60"/>
        <v>6335.7598615751203</v>
      </c>
      <c r="AD125" s="27">
        <f t="shared" si="60"/>
        <v>6021.9340516553484</v>
      </c>
      <c r="AE125" s="27">
        <f t="shared" si="60"/>
        <v>5786.5646942155199</v>
      </c>
      <c r="AF125" s="27">
        <f t="shared" si="60"/>
        <v>5610.0376761356483</v>
      </c>
      <c r="AG125" s="27">
        <f t="shared" si="60"/>
        <v>5477.6424125757449</v>
      </c>
      <c r="AH125" s="27">
        <f t="shared" si="60"/>
        <v>5378.3459649058168</v>
      </c>
      <c r="AI125" s="27">
        <f t="shared" si="60"/>
        <v>5303.8736291533714</v>
      </c>
      <c r="AJ125" s="27">
        <f t="shared" ref="AJ125:BO125" si="61">AI129</f>
        <v>5248.0193773390365</v>
      </c>
      <c r="AK125" s="27">
        <f t="shared" si="61"/>
        <v>5206.1286884782858</v>
      </c>
      <c r="AL125" s="27">
        <f t="shared" si="61"/>
        <v>5174.7106718327232</v>
      </c>
      <c r="AM125" s="27">
        <f t="shared" si="61"/>
        <v>5151.1471593485512</v>
      </c>
      <c r="AN125" s="27">
        <f t="shared" si="61"/>
        <v>5133.4745249854222</v>
      </c>
      <c r="AO125" s="27">
        <f t="shared" si="61"/>
        <v>4801.4682418259245</v>
      </c>
      <c r="AP125" s="27">
        <f t="shared" si="61"/>
        <v>4475.7137570505638</v>
      </c>
      <c r="AQ125" s="27">
        <f t="shared" si="61"/>
        <v>4231.397893469044</v>
      </c>
      <c r="AR125" s="27">
        <f t="shared" si="61"/>
        <v>3454.0275424424931</v>
      </c>
      <c r="AS125" s="27">
        <f t="shared" si="61"/>
        <v>3454.0275424424931</v>
      </c>
      <c r="AT125" s="27">
        <f t="shared" si="61"/>
        <v>3454.0275424424931</v>
      </c>
      <c r="AU125" s="27">
        <f t="shared" si="61"/>
        <v>3454.0275424424931</v>
      </c>
      <c r="AV125" s="27">
        <f t="shared" si="61"/>
        <v>3454.0275424424931</v>
      </c>
      <c r="AW125" s="27">
        <f t="shared" si="61"/>
        <v>3454.0275424424931</v>
      </c>
      <c r="AX125" s="27">
        <f t="shared" si="61"/>
        <v>3454.0275424424931</v>
      </c>
      <c r="AY125" s="27">
        <f t="shared" si="61"/>
        <v>3454.0275424424931</v>
      </c>
      <c r="AZ125" s="27">
        <f t="shared" si="61"/>
        <v>3454.0275424424931</v>
      </c>
      <c r="BA125" s="27">
        <f t="shared" si="61"/>
        <v>3454.0275424424931</v>
      </c>
      <c r="BB125" s="27">
        <f t="shared" si="61"/>
        <v>3454.0275424424931</v>
      </c>
      <c r="BC125" s="27">
        <f t="shared" si="61"/>
        <v>3454.0275424424931</v>
      </c>
      <c r="BD125" s="27">
        <f t="shared" si="61"/>
        <v>3454.0275424424931</v>
      </c>
      <c r="BE125" s="27">
        <f t="shared" si="61"/>
        <v>3454.0275424424931</v>
      </c>
      <c r="BF125" s="27">
        <f t="shared" si="61"/>
        <v>3454.0275424424931</v>
      </c>
      <c r="BG125" s="27">
        <f t="shared" si="61"/>
        <v>3454.0275424424931</v>
      </c>
      <c r="BH125" s="27">
        <f t="shared" si="61"/>
        <v>3454.0275424424931</v>
      </c>
      <c r="BI125" s="27">
        <f t="shared" si="61"/>
        <v>3454.0275424424931</v>
      </c>
      <c r="BJ125" s="27">
        <f t="shared" si="61"/>
        <v>3454.0275424424931</v>
      </c>
      <c r="BK125" s="27">
        <f t="shared" si="61"/>
        <v>3454.0275424424931</v>
      </c>
      <c r="BL125" s="27">
        <f t="shared" si="61"/>
        <v>3454.0275424424931</v>
      </c>
      <c r="BM125" s="27">
        <f t="shared" si="61"/>
        <v>3454.0275424424931</v>
      </c>
      <c r="BN125" s="27">
        <f t="shared" si="61"/>
        <v>3454.0275424424931</v>
      </c>
      <c r="BO125" s="27">
        <f t="shared" si="61"/>
        <v>3454.0275424424931</v>
      </c>
    </row>
    <row r="126" spans="1:67" x14ac:dyDescent="0.2">
      <c r="A126" s="5" t="s">
        <v>272</v>
      </c>
      <c r="C126" s="27">
        <f t="shared" ref="C126:AH126" si="62">C79</f>
        <v>4980</v>
      </c>
      <c r="D126" s="27">
        <f t="shared" si="62"/>
        <v>5300</v>
      </c>
      <c r="E126" s="27">
        <f t="shared" si="62"/>
        <v>5392</v>
      </c>
      <c r="F126" s="27">
        <f t="shared" si="62"/>
        <v>5932</v>
      </c>
      <c r="G126" s="27">
        <f t="shared" si="62"/>
        <v>5457</v>
      </c>
      <c r="H126" s="27">
        <f t="shared" si="62"/>
        <v>2940.4003334437725</v>
      </c>
      <c r="I126" s="27">
        <f t="shared" si="62"/>
        <v>2940.4003334437725</v>
      </c>
      <c r="J126" s="27">
        <f t="shared" si="62"/>
        <v>2940.4003334437725</v>
      </c>
      <c r="K126" s="27">
        <f t="shared" si="62"/>
        <v>2940.4003334437725</v>
      </c>
      <c r="L126" s="27">
        <f t="shared" si="62"/>
        <v>2940.4003334437725</v>
      </c>
      <c r="M126" s="27">
        <f t="shared" si="62"/>
        <v>2940.4003334437725</v>
      </c>
      <c r="N126" s="27">
        <f t="shared" si="62"/>
        <v>2940.4003334437725</v>
      </c>
      <c r="O126" s="27">
        <f t="shared" si="62"/>
        <v>2940.4003334437725</v>
      </c>
      <c r="P126" s="27">
        <f t="shared" si="62"/>
        <v>2940.4003334437725</v>
      </c>
      <c r="Q126" s="27">
        <f t="shared" si="62"/>
        <v>2940.4003334437725</v>
      </c>
      <c r="R126" s="27">
        <f t="shared" si="62"/>
        <v>2940.4003334437725</v>
      </c>
      <c r="S126" s="27">
        <f t="shared" si="62"/>
        <v>2940.4003334437725</v>
      </c>
      <c r="T126" s="27">
        <f t="shared" si="62"/>
        <v>2940.4003334437725</v>
      </c>
      <c r="U126" s="27">
        <f t="shared" si="62"/>
        <v>2940.4003334437725</v>
      </c>
      <c r="V126" s="27">
        <f t="shared" si="62"/>
        <v>2940.4003334437725</v>
      </c>
      <c r="W126" s="27">
        <f t="shared" si="62"/>
        <v>2940.4003334437725</v>
      </c>
      <c r="X126" s="27">
        <f t="shared" si="62"/>
        <v>2590.5560596996697</v>
      </c>
      <c r="Y126" s="27">
        <f t="shared" si="62"/>
        <v>1693.4855406320112</v>
      </c>
      <c r="Z126" s="27">
        <f t="shared" si="62"/>
        <v>1693.4855406320112</v>
      </c>
      <c r="AA126" s="27">
        <f t="shared" si="62"/>
        <v>1693.4855406320112</v>
      </c>
      <c r="AB126" s="27">
        <f t="shared" si="62"/>
        <v>1693.4855406320112</v>
      </c>
      <c r="AC126" s="27">
        <f t="shared" si="62"/>
        <v>1693.4855406320112</v>
      </c>
      <c r="AD126" s="27">
        <f t="shared" si="62"/>
        <v>1693.4855406320112</v>
      </c>
      <c r="AE126" s="27">
        <f t="shared" si="62"/>
        <v>1693.4855406320112</v>
      </c>
      <c r="AF126" s="27">
        <f t="shared" si="62"/>
        <v>1693.4855406320112</v>
      </c>
      <c r="AG126" s="27">
        <f t="shared" si="62"/>
        <v>1693.4855406320112</v>
      </c>
      <c r="AH126" s="27">
        <f t="shared" si="62"/>
        <v>1693.4855406320112</v>
      </c>
      <c r="AI126" s="27">
        <f t="shared" ref="AI126:BO126" si="63">AI79</f>
        <v>1693.4855406320112</v>
      </c>
      <c r="AJ126" s="27">
        <f t="shared" si="63"/>
        <v>1693.4855406320112</v>
      </c>
      <c r="AK126" s="27">
        <f t="shared" si="63"/>
        <v>1693.4855406320112</v>
      </c>
      <c r="AL126" s="27">
        <f t="shared" si="63"/>
        <v>1693.4855406320112</v>
      </c>
      <c r="AM126" s="27">
        <f t="shared" si="63"/>
        <v>1693.4855406320112</v>
      </c>
      <c r="AN126" s="27">
        <f t="shared" si="63"/>
        <v>1268.483130782477</v>
      </c>
      <c r="AO126" s="27">
        <f t="shared" si="63"/>
        <v>1166.1501009081617</v>
      </c>
      <c r="AP126" s="27">
        <f t="shared" si="63"/>
        <v>1166.1501009081617</v>
      </c>
      <c r="AQ126" s="27">
        <f t="shared" si="63"/>
        <v>373.97216312094645</v>
      </c>
      <c r="AR126" s="27">
        <f t="shared" si="63"/>
        <v>0</v>
      </c>
      <c r="AS126" s="27">
        <f t="shared" si="63"/>
        <v>0</v>
      </c>
      <c r="AT126" s="27">
        <f t="shared" si="63"/>
        <v>0</v>
      </c>
      <c r="AU126" s="27">
        <f t="shared" si="63"/>
        <v>0</v>
      </c>
      <c r="AV126" s="27">
        <f t="shared" si="63"/>
        <v>0</v>
      </c>
      <c r="AW126" s="27">
        <f t="shared" si="63"/>
        <v>0</v>
      </c>
      <c r="AX126" s="27">
        <f t="shared" si="63"/>
        <v>0</v>
      </c>
      <c r="AY126" s="27">
        <f t="shared" si="63"/>
        <v>0</v>
      </c>
      <c r="AZ126" s="27">
        <f t="shared" si="63"/>
        <v>0</v>
      </c>
      <c r="BA126" s="27">
        <f t="shared" si="63"/>
        <v>0</v>
      </c>
      <c r="BB126" s="27">
        <f t="shared" si="63"/>
        <v>0</v>
      </c>
      <c r="BC126" s="27">
        <f t="shared" si="63"/>
        <v>0</v>
      </c>
      <c r="BD126" s="27">
        <f t="shared" si="63"/>
        <v>0</v>
      </c>
      <c r="BE126" s="27">
        <f t="shared" si="63"/>
        <v>0</v>
      </c>
      <c r="BF126" s="27">
        <f t="shared" si="63"/>
        <v>0</v>
      </c>
      <c r="BG126" s="27">
        <f t="shared" si="63"/>
        <v>0</v>
      </c>
      <c r="BH126" s="27">
        <f t="shared" si="63"/>
        <v>0</v>
      </c>
      <c r="BI126" s="27">
        <f t="shared" si="63"/>
        <v>0</v>
      </c>
      <c r="BJ126" s="27">
        <f t="shared" si="63"/>
        <v>0</v>
      </c>
      <c r="BK126" s="27">
        <f t="shared" si="63"/>
        <v>0</v>
      </c>
      <c r="BL126" s="27">
        <f t="shared" si="63"/>
        <v>0</v>
      </c>
      <c r="BM126" s="27">
        <f t="shared" si="63"/>
        <v>0</v>
      </c>
      <c r="BN126" s="27">
        <f t="shared" si="63"/>
        <v>0</v>
      </c>
      <c r="BO126" s="27">
        <f t="shared" si="63"/>
        <v>0</v>
      </c>
    </row>
    <row r="127" spans="1:67" x14ac:dyDescent="0.2">
      <c r="A127" s="5" t="s">
        <v>273</v>
      </c>
      <c r="C127" s="27">
        <f t="shared" ref="C127:AH127" si="64">C125+C126</f>
        <v>84821</v>
      </c>
      <c r="D127" s="27">
        <f t="shared" si="64"/>
        <v>80785.854070529836</v>
      </c>
      <c r="E127" s="27">
        <f t="shared" si="64"/>
        <v>77299.372196037279</v>
      </c>
      <c r="F127" s="27">
        <f t="shared" si="64"/>
        <v>74435.003716995358</v>
      </c>
      <c r="G127" s="27">
        <f t="shared" si="64"/>
        <v>71905.759673214314</v>
      </c>
      <c r="H127" s="27">
        <f t="shared" si="64"/>
        <v>66061.590458444771</v>
      </c>
      <c r="I127" s="27">
        <f t="shared" si="64"/>
        <v>57374.707401210442</v>
      </c>
      <c r="J127" s="27">
        <f t="shared" si="64"/>
        <v>48355.187884549385</v>
      </c>
      <c r="K127" s="27">
        <f t="shared" si="64"/>
        <v>39206.791246855813</v>
      </c>
      <c r="L127" s="27">
        <f t="shared" si="64"/>
        <v>32345.493768585635</v>
      </c>
      <c r="M127" s="27">
        <f t="shared" si="64"/>
        <v>27199.520659882997</v>
      </c>
      <c r="N127" s="27">
        <f t="shared" si="64"/>
        <v>23340.040828356021</v>
      </c>
      <c r="O127" s="27">
        <f t="shared" si="64"/>
        <v>20445.430954710788</v>
      </c>
      <c r="P127" s="27">
        <f t="shared" si="64"/>
        <v>18274.473549476865</v>
      </c>
      <c r="Q127" s="27">
        <f t="shared" si="64"/>
        <v>16646.255495551421</v>
      </c>
      <c r="R127" s="27">
        <f t="shared" si="64"/>
        <v>15425.091955107338</v>
      </c>
      <c r="S127" s="27">
        <f t="shared" si="64"/>
        <v>14509.219299774277</v>
      </c>
      <c r="T127" s="27">
        <f t="shared" si="64"/>
        <v>13822.314808274481</v>
      </c>
      <c r="U127" s="27">
        <f t="shared" si="64"/>
        <v>13307.136439649634</v>
      </c>
      <c r="V127" s="27">
        <f t="shared" si="64"/>
        <v>12920.752663180998</v>
      </c>
      <c r="W127" s="27">
        <f t="shared" si="64"/>
        <v>12630.964830829522</v>
      </c>
      <c r="X127" s="27">
        <f t="shared" si="64"/>
        <v>12063.779682821811</v>
      </c>
      <c r="Y127" s="27">
        <f t="shared" si="64"/>
        <v>10741.320302748369</v>
      </c>
      <c r="Z127" s="27">
        <f t="shared" si="64"/>
        <v>9749.4757676932877</v>
      </c>
      <c r="AA127" s="27">
        <f t="shared" si="64"/>
        <v>9005.5923664019774</v>
      </c>
      <c r="AB127" s="27">
        <f t="shared" si="64"/>
        <v>8447.6798154334938</v>
      </c>
      <c r="AC127" s="27">
        <f t="shared" si="64"/>
        <v>8029.2454022071315</v>
      </c>
      <c r="AD127" s="27">
        <f t="shared" si="64"/>
        <v>7715.4195922873596</v>
      </c>
      <c r="AE127" s="27">
        <f t="shared" si="64"/>
        <v>7480.0502348475311</v>
      </c>
      <c r="AF127" s="27">
        <f t="shared" si="64"/>
        <v>7303.5232167676595</v>
      </c>
      <c r="AG127" s="27">
        <f t="shared" si="64"/>
        <v>7171.127953207756</v>
      </c>
      <c r="AH127" s="27">
        <f t="shared" si="64"/>
        <v>7071.831505537828</v>
      </c>
      <c r="AI127" s="27">
        <f t="shared" ref="AI127:BN127" si="65">AI125+AI126</f>
        <v>6997.3591697853826</v>
      </c>
      <c r="AJ127" s="27">
        <f t="shared" si="65"/>
        <v>6941.5049179710477</v>
      </c>
      <c r="AK127" s="27">
        <f t="shared" si="65"/>
        <v>6899.6142291102969</v>
      </c>
      <c r="AL127" s="27">
        <f t="shared" si="65"/>
        <v>6868.1962124647343</v>
      </c>
      <c r="AM127" s="27">
        <f t="shared" si="65"/>
        <v>6844.6326999805624</v>
      </c>
      <c r="AN127" s="27">
        <f t="shared" si="65"/>
        <v>6401.9576557678993</v>
      </c>
      <c r="AO127" s="27">
        <f t="shared" si="65"/>
        <v>5967.6183427340857</v>
      </c>
      <c r="AP127" s="27">
        <f t="shared" si="65"/>
        <v>5641.8638579587259</v>
      </c>
      <c r="AQ127" s="27">
        <f t="shared" si="65"/>
        <v>4605.3700565899908</v>
      </c>
      <c r="AR127" s="27">
        <f t="shared" si="65"/>
        <v>3454.0275424424931</v>
      </c>
      <c r="AS127" s="27">
        <f t="shared" si="65"/>
        <v>3454.0275424424931</v>
      </c>
      <c r="AT127" s="27">
        <f t="shared" si="65"/>
        <v>3454.0275424424931</v>
      </c>
      <c r="AU127" s="27">
        <f t="shared" si="65"/>
        <v>3454.0275424424931</v>
      </c>
      <c r="AV127" s="27">
        <f t="shared" si="65"/>
        <v>3454.0275424424931</v>
      </c>
      <c r="AW127" s="27">
        <f t="shared" si="65"/>
        <v>3454.0275424424931</v>
      </c>
      <c r="AX127" s="27">
        <f t="shared" si="65"/>
        <v>3454.0275424424931</v>
      </c>
      <c r="AY127" s="27">
        <f t="shared" si="65"/>
        <v>3454.0275424424931</v>
      </c>
      <c r="AZ127" s="27">
        <f t="shared" si="65"/>
        <v>3454.0275424424931</v>
      </c>
      <c r="BA127" s="27">
        <f t="shared" si="65"/>
        <v>3454.0275424424931</v>
      </c>
      <c r="BB127" s="27">
        <f t="shared" si="65"/>
        <v>3454.0275424424931</v>
      </c>
      <c r="BC127" s="27">
        <f t="shared" si="65"/>
        <v>3454.0275424424931</v>
      </c>
      <c r="BD127" s="27">
        <f t="shared" si="65"/>
        <v>3454.0275424424931</v>
      </c>
      <c r="BE127" s="27">
        <f t="shared" si="65"/>
        <v>3454.0275424424931</v>
      </c>
      <c r="BF127" s="27">
        <f t="shared" si="65"/>
        <v>3454.0275424424931</v>
      </c>
      <c r="BG127" s="27">
        <f t="shared" si="65"/>
        <v>3454.0275424424931</v>
      </c>
      <c r="BH127" s="27">
        <f t="shared" si="65"/>
        <v>3454.0275424424931</v>
      </c>
      <c r="BI127" s="27">
        <f t="shared" si="65"/>
        <v>3454.0275424424931</v>
      </c>
      <c r="BJ127" s="27">
        <f t="shared" si="65"/>
        <v>3454.0275424424931</v>
      </c>
      <c r="BK127" s="27">
        <f t="shared" si="65"/>
        <v>3454.0275424424931</v>
      </c>
      <c r="BL127" s="27">
        <f t="shared" si="65"/>
        <v>3454.0275424424931</v>
      </c>
      <c r="BM127" s="27">
        <f t="shared" si="65"/>
        <v>3454.0275424424931</v>
      </c>
      <c r="BN127" s="27">
        <f t="shared" si="65"/>
        <v>3454.0275424424931</v>
      </c>
      <c r="BO127" s="27">
        <f t="shared" ref="BO127" si="66">BO125+BO126</f>
        <v>3454.0275424424931</v>
      </c>
    </row>
    <row r="128" spans="1:67" x14ac:dyDescent="0.2">
      <c r="A128" s="5" t="s">
        <v>274</v>
      </c>
      <c r="C128" s="27">
        <f>MIN(C127*'Model Inputs'!$B$283,MAX(C81,0))</f>
        <v>9335.1459294701581</v>
      </c>
      <c r="D128" s="27">
        <f>MIN(D127*'Model Inputs'!$B$283,MAX(D81,0))</f>
        <v>8878.4818744925597</v>
      </c>
      <c r="E128" s="27">
        <f>MIN(E127*'Model Inputs'!$B$283,MAX(E81,0))</f>
        <v>8796.3684790419284</v>
      </c>
      <c r="F128" s="27">
        <f>MIN(F127*'Model Inputs'!$B$283,MAX(F81,0))</f>
        <v>7986.2440437810437</v>
      </c>
      <c r="G128" s="27">
        <f>MIN(G127*'Model Inputs'!$B$283,MAX(G81,0))</f>
        <v>8784.5695482133124</v>
      </c>
      <c r="H128" s="27">
        <f>MIN(H127*'Model Inputs'!$B$283,MAX(H81,0))</f>
        <v>11627.283390678103</v>
      </c>
      <c r="I128" s="27">
        <f>MIN(I127*'Model Inputs'!$B$283,MAX(I81,0))</f>
        <v>11959.91985010483</v>
      </c>
      <c r="J128" s="27">
        <f>MIN(J127*'Model Inputs'!$B$283,MAX(J81,0))</f>
        <v>12088.796971137346</v>
      </c>
      <c r="K128" s="27">
        <f>MIN(K127*'Model Inputs'!$B$283,MAX(K81,0))</f>
        <v>9801.6978117139533</v>
      </c>
      <c r="L128" s="27">
        <f>MIN(L127*'Model Inputs'!$B$283,MAX(L81,0))</f>
        <v>8086.3734421464087</v>
      </c>
      <c r="M128" s="27">
        <f>MIN(M127*'Model Inputs'!$B$283,MAX(M81,0))</f>
        <v>6799.8801649707493</v>
      </c>
      <c r="N128" s="27">
        <f>MIN(N127*'Model Inputs'!$B$283,MAX(N81,0))</f>
        <v>5835.0102070890052</v>
      </c>
      <c r="O128" s="27">
        <f>MIN(O127*'Model Inputs'!$B$283,MAX(O81,0))</f>
        <v>5111.3577386776969</v>
      </c>
      <c r="P128" s="27">
        <f>MIN(P127*'Model Inputs'!$B$283,MAX(P81,0))</f>
        <v>4568.6183873692162</v>
      </c>
      <c r="Q128" s="27">
        <f>MIN(Q127*'Model Inputs'!$B$283,MAX(Q81,0))</f>
        <v>4161.5638738878552</v>
      </c>
      <c r="R128" s="27">
        <f>MIN(R127*'Model Inputs'!$B$283,MAX(R81,0))</f>
        <v>3856.2729887768346</v>
      </c>
      <c r="S128" s="27">
        <f>MIN(S127*'Model Inputs'!$B$283,MAX(S81,0))</f>
        <v>3627.3048249435692</v>
      </c>
      <c r="T128" s="27">
        <f>MIN(T127*'Model Inputs'!$B$283,MAX(T81,0))</f>
        <v>3455.5787020686203</v>
      </c>
      <c r="U128" s="27">
        <f>MIN(U127*'Model Inputs'!$B$283,MAX(U81,0))</f>
        <v>3326.7841099124084</v>
      </c>
      <c r="V128" s="27">
        <f>MIN(V127*'Model Inputs'!$B$283,MAX(V81,0))</f>
        <v>3230.1881657952495</v>
      </c>
      <c r="W128" s="27">
        <f>MIN(W127*'Model Inputs'!$B$283,MAX(W81,0))</f>
        <v>3157.7412077073805</v>
      </c>
      <c r="X128" s="27">
        <f>MIN(X127*'Model Inputs'!$B$283,MAX(X81,0))</f>
        <v>3015.9449207054527</v>
      </c>
      <c r="Y128" s="27">
        <f>MIN(Y127*'Model Inputs'!$B$283,MAX(Y81,0))</f>
        <v>2685.3300756870922</v>
      </c>
      <c r="Z128" s="27">
        <f>MIN(Z127*'Model Inputs'!$B$283,MAX(Z81,0))</f>
        <v>2437.3689419233219</v>
      </c>
      <c r="AA128" s="27">
        <f>MIN(AA127*'Model Inputs'!$B$283,MAX(AA81,0))</f>
        <v>2251.3980916004944</v>
      </c>
      <c r="AB128" s="27">
        <f>MIN(AB127*'Model Inputs'!$B$283,MAX(AB81,0))</f>
        <v>2111.9199538583734</v>
      </c>
      <c r="AC128" s="27">
        <f>MIN(AC127*'Model Inputs'!$B$283,MAX(AC81,0))</f>
        <v>2007.3113505517829</v>
      </c>
      <c r="AD128" s="27">
        <f>MIN(AD127*'Model Inputs'!$B$283,MAX(AD81,0))</f>
        <v>1928.8548980718399</v>
      </c>
      <c r="AE128" s="27">
        <f>MIN(AE127*'Model Inputs'!$B$283,MAX(AE81,0))</f>
        <v>1870.0125587118828</v>
      </c>
      <c r="AF128" s="27">
        <f>MIN(AF127*'Model Inputs'!$B$283,MAX(AF81,0))</f>
        <v>1825.8808041919149</v>
      </c>
      <c r="AG128" s="27">
        <f>MIN(AG127*'Model Inputs'!$B$283,MAX(AG81,0))</f>
        <v>1792.781988301939</v>
      </c>
      <c r="AH128" s="27">
        <f>MIN(AH127*'Model Inputs'!$B$283,MAX(AH81,0))</f>
        <v>1767.957876384457</v>
      </c>
      <c r="AI128" s="27">
        <f>MIN(AI127*'Model Inputs'!$B$283,MAX(AI81,0))</f>
        <v>1749.3397924463457</v>
      </c>
      <c r="AJ128" s="27">
        <f>MIN(AJ127*'Model Inputs'!$B$283,MAX(AJ81,0))</f>
        <v>1735.3762294927619</v>
      </c>
      <c r="AK128" s="27">
        <f>MIN(AK127*'Model Inputs'!$B$283,MAX(AK81,0))</f>
        <v>1724.9035572775742</v>
      </c>
      <c r="AL128" s="27">
        <f>MIN(AL127*'Model Inputs'!$B$283,MAX(AL81,0))</f>
        <v>1717.0490531161836</v>
      </c>
      <c r="AM128" s="27">
        <f>MIN(AM127*'Model Inputs'!$B$283,MAX(AM81,0))</f>
        <v>1711.1581749951406</v>
      </c>
      <c r="AN128" s="27">
        <f>MIN(AN127*'Model Inputs'!$B$283,MAX(AN81,0))</f>
        <v>1600.4894139419748</v>
      </c>
      <c r="AO128" s="27">
        <f>MIN(AO127*'Model Inputs'!$B$283,MAX(AO81,0))</f>
        <v>1491.9045856835214</v>
      </c>
      <c r="AP128" s="27">
        <f>MIN(AP127*'Model Inputs'!$B$283,MAX(AP81,0))</f>
        <v>1410.4659644896815</v>
      </c>
      <c r="AQ128" s="27">
        <f>MIN(AQ127*'Model Inputs'!$B$283,MAX(AQ81,0))</f>
        <v>1151.3425141474977</v>
      </c>
      <c r="AR128" s="27">
        <f>MIN(AR127*'Model Inputs'!$B$283,MAX(AR81,0))</f>
        <v>0</v>
      </c>
      <c r="AS128" s="27">
        <f>MIN(AS127*'Model Inputs'!$B$283,MAX(AS81,0))</f>
        <v>0</v>
      </c>
      <c r="AT128" s="27">
        <f>MIN(AT127*'Model Inputs'!$B$283,MAX(AT81,0))</f>
        <v>0</v>
      </c>
      <c r="AU128" s="27">
        <f>MIN(AU127*'Model Inputs'!$B$283,MAX(AU81,0))</f>
        <v>0</v>
      </c>
      <c r="AV128" s="27">
        <f>MIN(AV127*'Model Inputs'!$B$283,MAX(AV81,0))</f>
        <v>0</v>
      </c>
      <c r="AW128" s="27">
        <f>MIN(AW127*'Model Inputs'!$B$283,MAX(AW81,0))</f>
        <v>0</v>
      </c>
      <c r="AX128" s="27">
        <f>MIN(AX127*'Model Inputs'!$B$283,MAX(AX81,0))</f>
        <v>0</v>
      </c>
      <c r="AY128" s="27">
        <f>MIN(AY127*'Model Inputs'!$B$283,MAX(AY81,0))</f>
        <v>0</v>
      </c>
      <c r="AZ128" s="27">
        <f>MIN(AZ127*'Model Inputs'!$B$283,MAX(AZ81,0))</f>
        <v>0</v>
      </c>
      <c r="BA128" s="27">
        <f>MIN(BA127*'Model Inputs'!$B$283,MAX(BA81,0))</f>
        <v>0</v>
      </c>
      <c r="BB128" s="27">
        <f>MIN(BB127*'Model Inputs'!$B$283,MAX(BB81,0))</f>
        <v>0</v>
      </c>
      <c r="BC128" s="27">
        <f>MIN(BC127*'Model Inputs'!$B$283,MAX(BC81,0))</f>
        <v>0</v>
      </c>
      <c r="BD128" s="27">
        <f>MIN(BD127*'Model Inputs'!$B$283,MAX(BD81,0))</f>
        <v>0</v>
      </c>
      <c r="BE128" s="27">
        <f>MIN(BE127*'Model Inputs'!$B$283,MAX(BE81,0))</f>
        <v>0</v>
      </c>
      <c r="BF128" s="27">
        <f>MIN(BF127*'Model Inputs'!$B$283,MAX(BF81,0))</f>
        <v>0</v>
      </c>
      <c r="BG128" s="27">
        <f>MIN(BG127*'Model Inputs'!$B$283,MAX(BG81,0))</f>
        <v>0</v>
      </c>
      <c r="BH128" s="27">
        <f>MIN(BH127*'Model Inputs'!$B$283,MAX(BH81,0))</f>
        <v>0</v>
      </c>
      <c r="BI128" s="27">
        <f>MIN(BI127*'Model Inputs'!$B$283,MAX(BI81,0))</f>
        <v>0</v>
      </c>
      <c r="BJ128" s="27">
        <f>MIN(BJ127*'Model Inputs'!$B$283,MAX(BJ81,0))</f>
        <v>0</v>
      </c>
      <c r="BK128" s="27">
        <f>MIN(BK127*'Model Inputs'!$B$283,MAX(BK81,0))</f>
        <v>0</v>
      </c>
      <c r="BL128" s="27">
        <f>MIN(BL127*'Model Inputs'!$B$283,MAX(BL81,0))</f>
        <v>0</v>
      </c>
      <c r="BM128" s="27">
        <f>MIN(BM127*'Model Inputs'!$B$283,MAX(BM81,0))</f>
        <v>0</v>
      </c>
      <c r="BN128" s="27">
        <f>MIN(BN127*'Model Inputs'!$B$283,MAX(BN81,0))</f>
        <v>0</v>
      </c>
      <c r="BO128" s="27">
        <f>MIN(BO127*'Model Inputs'!$B$283,MAX(BO81,0))</f>
        <v>0</v>
      </c>
    </row>
    <row r="129" spans="1:67" x14ac:dyDescent="0.2">
      <c r="A129" s="5" t="s">
        <v>275</v>
      </c>
      <c r="C129" s="27">
        <f t="shared" ref="C129:AH129" si="67">C127-C128</f>
        <v>75485.854070529836</v>
      </c>
      <c r="D129" s="27">
        <f t="shared" si="67"/>
        <v>71907.372196037279</v>
      </c>
      <c r="E129" s="27">
        <f t="shared" si="67"/>
        <v>68503.003716995358</v>
      </c>
      <c r="F129" s="27">
        <f t="shared" si="67"/>
        <v>66448.759673214314</v>
      </c>
      <c r="G129" s="27">
        <f t="shared" si="67"/>
        <v>63121.190125000998</v>
      </c>
      <c r="H129" s="27">
        <f t="shared" si="67"/>
        <v>54434.307067766669</v>
      </c>
      <c r="I129" s="27">
        <f t="shared" si="67"/>
        <v>45414.787551105612</v>
      </c>
      <c r="J129" s="27">
        <f t="shared" si="67"/>
        <v>36266.39091341204</v>
      </c>
      <c r="K129" s="27">
        <f t="shared" si="67"/>
        <v>29405.093435141862</v>
      </c>
      <c r="L129" s="27">
        <f t="shared" si="67"/>
        <v>24259.120326439224</v>
      </c>
      <c r="M129" s="27">
        <f t="shared" si="67"/>
        <v>20399.640494912248</v>
      </c>
      <c r="N129" s="27">
        <f t="shared" si="67"/>
        <v>17505.030621267015</v>
      </c>
      <c r="O129" s="27">
        <f t="shared" si="67"/>
        <v>15334.073216033092</v>
      </c>
      <c r="P129" s="27">
        <f t="shared" si="67"/>
        <v>13705.855162107648</v>
      </c>
      <c r="Q129" s="27">
        <f t="shared" si="67"/>
        <v>12484.691621663565</v>
      </c>
      <c r="R129" s="27">
        <f t="shared" si="67"/>
        <v>11568.818966330504</v>
      </c>
      <c r="S129" s="27">
        <f t="shared" si="67"/>
        <v>10881.914474830708</v>
      </c>
      <c r="T129" s="27">
        <f t="shared" si="67"/>
        <v>10366.736106205861</v>
      </c>
      <c r="U129" s="27">
        <f t="shared" si="67"/>
        <v>9980.3523297372249</v>
      </c>
      <c r="V129" s="27">
        <f t="shared" si="67"/>
        <v>9690.5644973857488</v>
      </c>
      <c r="W129" s="27">
        <f t="shared" si="67"/>
        <v>9473.2236231221414</v>
      </c>
      <c r="X129" s="27">
        <f t="shared" si="67"/>
        <v>9047.8347621163575</v>
      </c>
      <c r="Y129" s="27">
        <f t="shared" si="67"/>
        <v>8055.9902270612765</v>
      </c>
      <c r="Z129" s="27">
        <f t="shared" si="67"/>
        <v>7312.1068257699662</v>
      </c>
      <c r="AA129" s="27">
        <f t="shared" si="67"/>
        <v>6754.1942748014826</v>
      </c>
      <c r="AB129" s="27">
        <f t="shared" si="67"/>
        <v>6335.7598615751203</v>
      </c>
      <c r="AC129" s="27">
        <f t="shared" si="67"/>
        <v>6021.9340516553484</v>
      </c>
      <c r="AD129" s="27">
        <f t="shared" si="67"/>
        <v>5786.5646942155199</v>
      </c>
      <c r="AE129" s="27">
        <f t="shared" si="67"/>
        <v>5610.0376761356483</v>
      </c>
      <c r="AF129" s="27">
        <f t="shared" si="67"/>
        <v>5477.6424125757449</v>
      </c>
      <c r="AG129" s="27">
        <f t="shared" si="67"/>
        <v>5378.3459649058168</v>
      </c>
      <c r="AH129" s="27">
        <f t="shared" si="67"/>
        <v>5303.8736291533714</v>
      </c>
      <c r="AI129" s="27">
        <f t="shared" ref="AI129:BN129" si="68">AI127-AI128</f>
        <v>5248.0193773390365</v>
      </c>
      <c r="AJ129" s="27">
        <f t="shared" si="68"/>
        <v>5206.1286884782858</v>
      </c>
      <c r="AK129" s="27">
        <f t="shared" si="68"/>
        <v>5174.7106718327232</v>
      </c>
      <c r="AL129" s="27">
        <f t="shared" si="68"/>
        <v>5151.1471593485512</v>
      </c>
      <c r="AM129" s="27">
        <f t="shared" si="68"/>
        <v>5133.4745249854222</v>
      </c>
      <c r="AN129" s="27">
        <f t="shared" si="68"/>
        <v>4801.4682418259245</v>
      </c>
      <c r="AO129" s="27">
        <f t="shared" si="68"/>
        <v>4475.7137570505638</v>
      </c>
      <c r="AP129" s="27">
        <f t="shared" si="68"/>
        <v>4231.397893469044</v>
      </c>
      <c r="AQ129" s="27">
        <f t="shared" si="68"/>
        <v>3454.0275424424931</v>
      </c>
      <c r="AR129" s="27">
        <f t="shared" si="68"/>
        <v>3454.0275424424931</v>
      </c>
      <c r="AS129" s="27">
        <f t="shared" si="68"/>
        <v>3454.0275424424931</v>
      </c>
      <c r="AT129" s="27">
        <f t="shared" si="68"/>
        <v>3454.0275424424931</v>
      </c>
      <c r="AU129" s="27">
        <f t="shared" si="68"/>
        <v>3454.0275424424931</v>
      </c>
      <c r="AV129" s="27">
        <f t="shared" si="68"/>
        <v>3454.0275424424931</v>
      </c>
      <c r="AW129" s="27">
        <f t="shared" si="68"/>
        <v>3454.0275424424931</v>
      </c>
      <c r="AX129" s="27">
        <f t="shared" si="68"/>
        <v>3454.0275424424931</v>
      </c>
      <c r="AY129" s="27">
        <f t="shared" si="68"/>
        <v>3454.0275424424931</v>
      </c>
      <c r="AZ129" s="27">
        <f t="shared" si="68"/>
        <v>3454.0275424424931</v>
      </c>
      <c r="BA129" s="27">
        <f t="shared" si="68"/>
        <v>3454.0275424424931</v>
      </c>
      <c r="BB129" s="27">
        <f t="shared" si="68"/>
        <v>3454.0275424424931</v>
      </c>
      <c r="BC129" s="27">
        <f t="shared" si="68"/>
        <v>3454.0275424424931</v>
      </c>
      <c r="BD129" s="27">
        <f t="shared" si="68"/>
        <v>3454.0275424424931</v>
      </c>
      <c r="BE129" s="27">
        <f t="shared" si="68"/>
        <v>3454.0275424424931</v>
      </c>
      <c r="BF129" s="27">
        <f t="shared" si="68"/>
        <v>3454.0275424424931</v>
      </c>
      <c r="BG129" s="27">
        <f t="shared" si="68"/>
        <v>3454.0275424424931</v>
      </c>
      <c r="BH129" s="27">
        <f t="shared" si="68"/>
        <v>3454.0275424424931</v>
      </c>
      <c r="BI129" s="27">
        <f t="shared" si="68"/>
        <v>3454.0275424424931</v>
      </c>
      <c r="BJ129" s="27">
        <f t="shared" si="68"/>
        <v>3454.0275424424931</v>
      </c>
      <c r="BK129" s="27">
        <f t="shared" si="68"/>
        <v>3454.0275424424931</v>
      </c>
      <c r="BL129" s="27">
        <f t="shared" si="68"/>
        <v>3454.0275424424931</v>
      </c>
      <c r="BM129" s="27">
        <f t="shared" si="68"/>
        <v>3454.0275424424931</v>
      </c>
      <c r="BN129" s="27">
        <f t="shared" si="68"/>
        <v>3454.0275424424931</v>
      </c>
      <c r="BO129" s="27">
        <f t="shared" ref="BO129" si="69">BO127-BO128</f>
        <v>3454.0275424424931</v>
      </c>
    </row>
    <row r="130" spans="1:67" x14ac:dyDescent="0.2">
      <c r="A130" s="5" t="s">
        <v>276</v>
      </c>
      <c r="C130" s="27">
        <f t="shared" ref="C130:AH130" si="70">MAX(0,C81-C128)</f>
        <v>0</v>
      </c>
      <c r="D130" s="27">
        <f t="shared" si="70"/>
        <v>0</v>
      </c>
      <c r="E130" s="27">
        <f t="shared" si="70"/>
        <v>0</v>
      </c>
      <c r="F130" s="27">
        <f t="shared" si="70"/>
        <v>0</v>
      </c>
      <c r="G130" s="27">
        <f t="shared" si="70"/>
        <v>0</v>
      </c>
      <c r="H130" s="27">
        <f t="shared" si="70"/>
        <v>0</v>
      </c>
      <c r="I130" s="27">
        <f t="shared" si="70"/>
        <v>0</v>
      </c>
      <c r="J130" s="27">
        <f t="shared" si="70"/>
        <v>210.41206758275439</v>
      </c>
      <c r="K130" s="27">
        <f t="shared" si="70"/>
        <v>2843.5861993937142</v>
      </c>
      <c r="L130" s="27">
        <f t="shared" si="70"/>
        <v>4911.907040796581</v>
      </c>
      <c r="M130" s="27">
        <f t="shared" si="70"/>
        <v>6558.4567192442664</v>
      </c>
      <c r="N130" s="27">
        <f t="shared" si="70"/>
        <v>7604.1767638760311</v>
      </c>
      <c r="O130" s="27">
        <f t="shared" si="70"/>
        <v>8702.4319121707631</v>
      </c>
      <c r="P130" s="27">
        <f t="shared" si="70"/>
        <v>9627.2659969603228</v>
      </c>
      <c r="Q130" s="27">
        <f t="shared" si="70"/>
        <v>10424.057138592398</v>
      </c>
      <c r="R130" s="27">
        <f t="shared" si="70"/>
        <v>11126.879384417136</v>
      </c>
      <c r="S130" s="27">
        <f t="shared" si="70"/>
        <v>11761.329536178395</v>
      </c>
      <c r="T130" s="27">
        <f t="shared" si="70"/>
        <v>12346.647286739902</v>
      </c>
      <c r="U130" s="27">
        <f t="shared" si="70"/>
        <v>12897.305339136396</v>
      </c>
      <c r="V130" s="27">
        <f t="shared" si="70"/>
        <v>13360.104450270812</v>
      </c>
      <c r="W130" s="27">
        <f t="shared" si="70"/>
        <v>13871.458152392674</v>
      </c>
      <c r="X130" s="27">
        <f t="shared" si="70"/>
        <v>13908.983017670049</v>
      </c>
      <c r="Y130" s="27">
        <f t="shared" si="70"/>
        <v>14002.914135593172</v>
      </c>
      <c r="Z130" s="27">
        <f t="shared" si="70"/>
        <v>14660.439377679171</v>
      </c>
      <c r="AA130" s="27">
        <f t="shared" si="70"/>
        <v>15264.165618490671</v>
      </c>
      <c r="AB130" s="27">
        <f t="shared" si="70"/>
        <v>15829.754254531232</v>
      </c>
      <c r="AC130" s="27">
        <f t="shared" si="70"/>
        <v>16368.995566102236</v>
      </c>
      <c r="AD130" s="27">
        <f t="shared" si="70"/>
        <v>16890.777381011871</v>
      </c>
      <c r="AE130" s="27">
        <f t="shared" si="70"/>
        <v>17401.811590050133</v>
      </c>
      <c r="AF130" s="27">
        <f t="shared" si="70"/>
        <v>17907.17905164195</v>
      </c>
      <c r="AG130" s="27">
        <f t="shared" si="70"/>
        <v>18410.73828874523</v>
      </c>
      <c r="AH130" s="27">
        <f t="shared" si="70"/>
        <v>18915.432030300275</v>
      </c>
      <c r="AI130" s="27">
        <f t="shared" ref="AI130:BO130" si="71">MAX(0,AI81-AI128)</f>
        <v>19423.517136468705</v>
      </c>
      <c r="AJ130" s="27">
        <f t="shared" si="71"/>
        <v>19936.7370620972</v>
      </c>
      <c r="AK130" s="27">
        <f t="shared" si="71"/>
        <v>20456.451224240805</v>
      </c>
      <c r="AL130" s="27">
        <f t="shared" si="71"/>
        <v>20983.732048129186</v>
      </c>
      <c r="AM130" s="27">
        <f t="shared" si="71"/>
        <v>21519.437772371755</v>
      </c>
      <c r="AN130" s="27">
        <f t="shared" si="71"/>
        <v>17775.404652691759</v>
      </c>
      <c r="AO130" s="27">
        <f t="shared" si="71"/>
        <v>17404.33389255021</v>
      </c>
      <c r="AP130" s="27">
        <f t="shared" si="71"/>
        <v>17909.17413359174</v>
      </c>
      <c r="AQ130" s="27">
        <f t="shared" si="71"/>
        <v>4945.9863377067031</v>
      </c>
      <c r="AR130" s="27">
        <f t="shared" si="71"/>
        <v>0</v>
      </c>
      <c r="AS130" s="27">
        <f t="shared" si="71"/>
        <v>0</v>
      </c>
      <c r="AT130" s="27">
        <f t="shared" si="71"/>
        <v>0</v>
      </c>
      <c r="AU130" s="27">
        <f t="shared" si="71"/>
        <v>0</v>
      </c>
      <c r="AV130" s="27">
        <f t="shared" si="71"/>
        <v>0</v>
      </c>
      <c r="AW130" s="27">
        <f t="shared" si="71"/>
        <v>0</v>
      </c>
      <c r="AX130" s="27">
        <f t="shared" si="71"/>
        <v>0</v>
      </c>
      <c r="AY130" s="27">
        <f t="shared" si="71"/>
        <v>0</v>
      </c>
      <c r="AZ130" s="27">
        <f t="shared" si="71"/>
        <v>0</v>
      </c>
      <c r="BA130" s="27">
        <f t="shared" si="71"/>
        <v>0</v>
      </c>
      <c r="BB130" s="27">
        <f t="shared" si="71"/>
        <v>0</v>
      </c>
      <c r="BC130" s="27">
        <f t="shared" si="71"/>
        <v>0</v>
      </c>
      <c r="BD130" s="27">
        <f t="shared" si="71"/>
        <v>0</v>
      </c>
      <c r="BE130" s="27">
        <f t="shared" si="71"/>
        <v>0</v>
      </c>
      <c r="BF130" s="27">
        <f t="shared" si="71"/>
        <v>0</v>
      </c>
      <c r="BG130" s="27">
        <f t="shared" si="71"/>
        <v>0</v>
      </c>
      <c r="BH130" s="27">
        <f t="shared" si="71"/>
        <v>0</v>
      </c>
      <c r="BI130" s="27">
        <f t="shared" si="71"/>
        <v>0</v>
      </c>
      <c r="BJ130" s="27">
        <f t="shared" si="71"/>
        <v>0</v>
      </c>
      <c r="BK130" s="27">
        <f t="shared" si="71"/>
        <v>0</v>
      </c>
      <c r="BL130" s="27">
        <f t="shared" si="71"/>
        <v>0</v>
      </c>
      <c r="BM130" s="27">
        <f t="shared" si="71"/>
        <v>0</v>
      </c>
      <c r="BN130" s="27">
        <f t="shared" si="71"/>
        <v>0</v>
      </c>
      <c r="BO130" s="27">
        <f t="shared" si="71"/>
        <v>0</v>
      </c>
    </row>
    <row r="131" spans="1:67" x14ac:dyDescent="0.2">
      <c r="A131" s="5" t="s">
        <v>277</v>
      </c>
      <c r="C131" s="27">
        <f>C130*'Model Inputs'!$B$284</f>
        <v>0</v>
      </c>
      <c r="D131" s="27">
        <f>D130*'Model Inputs'!$B$284</f>
        <v>0</v>
      </c>
      <c r="E131" s="27">
        <f>E130*'Model Inputs'!$B$284</f>
        <v>0</v>
      </c>
      <c r="F131" s="27">
        <f>F130*'Model Inputs'!$B$284</f>
        <v>0</v>
      </c>
      <c r="G131" s="27">
        <f>G130*'Model Inputs'!$B$284</f>
        <v>0</v>
      </c>
      <c r="H131" s="27">
        <f>H130*'Model Inputs'!$B$284</f>
        <v>0</v>
      </c>
      <c r="I131" s="27">
        <f>I130*'Model Inputs'!$B$284</f>
        <v>0</v>
      </c>
      <c r="J131" s="27">
        <f>J130*'Model Inputs'!$B$284</f>
        <v>48.394775544033514</v>
      </c>
      <c r="K131" s="27">
        <f>K130*'Model Inputs'!$B$284</f>
        <v>654.0248258605543</v>
      </c>
      <c r="L131" s="27">
        <f>L130*'Model Inputs'!$B$284</f>
        <v>1129.7386193832137</v>
      </c>
      <c r="M131" s="27">
        <f>M130*'Model Inputs'!$B$284</f>
        <v>1508.4450454261814</v>
      </c>
      <c r="N131" s="27">
        <f>N130*'Model Inputs'!$B$284</f>
        <v>1748.9606556914873</v>
      </c>
      <c r="O131" s="27">
        <f>O130*'Model Inputs'!$B$284</f>
        <v>2001.5593397992757</v>
      </c>
      <c r="P131" s="27">
        <f>P130*'Model Inputs'!$B$284</f>
        <v>2214.2711793008743</v>
      </c>
      <c r="Q131" s="27">
        <f>Q130*'Model Inputs'!$B$284</f>
        <v>2397.5331418762516</v>
      </c>
      <c r="R131" s="27">
        <f>R130*'Model Inputs'!$B$284</f>
        <v>2559.1822584159413</v>
      </c>
      <c r="S131" s="27">
        <f>S130*'Model Inputs'!$B$284</f>
        <v>2705.1057933210309</v>
      </c>
      <c r="T131" s="27">
        <f>T130*'Model Inputs'!$B$284</f>
        <v>2839.7288759501776</v>
      </c>
      <c r="U131" s="27">
        <f>U130*'Model Inputs'!$B$284</f>
        <v>2966.3802280013711</v>
      </c>
      <c r="V131" s="27">
        <f>V130*'Model Inputs'!$B$284</f>
        <v>3072.824023562287</v>
      </c>
      <c r="W131" s="27">
        <f>W130*'Model Inputs'!$B$284</f>
        <v>3190.4353750503151</v>
      </c>
      <c r="X131" s="27">
        <f>X130*'Model Inputs'!$B$284</f>
        <v>3199.0660940641114</v>
      </c>
      <c r="Y131" s="27">
        <f>Y130*'Model Inputs'!$B$284</f>
        <v>3220.6702511864296</v>
      </c>
      <c r="Z131" s="27">
        <f>Z130*'Model Inputs'!$B$284</f>
        <v>3371.9010568662097</v>
      </c>
      <c r="AA131" s="27">
        <f>AA130*'Model Inputs'!$B$284</f>
        <v>3510.7580922528546</v>
      </c>
      <c r="AB131" s="27">
        <f>AB130*'Model Inputs'!$B$284</f>
        <v>3640.8434785421837</v>
      </c>
      <c r="AC131" s="27">
        <f>AC130*'Model Inputs'!$B$284</f>
        <v>3764.8689802035146</v>
      </c>
      <c r="AD131" s="27">
        <f>AD130*'Model Inputs'!$B$284</f>
        <v>3884.8787976327303</v>
      </c>
      <c r="AE131" s="27">
        <f>AE130*'Model Inputs'!$B$284</f>
        <v>4002.4166657115306</v>
      </c>
      <c r="AF131" s="27">
        <f>AF130*'Model Inputs'!$B$284</f>
        <v>4118.6511818776489</v>
      </c>
      <c r="AG131" s="27">
        <f>AG130*'Model Inputs'!$B$284</f>
        <v>4234.4698064114027</v>
      </c>
      <c r="AH131" s="27">
        <f>AH130*'Model Inputs'!$B$284</f>
        <v>4350.5493669690632</v>
      </c>
      <c r="AI131" s="27">
        <f>AI130*'Model Inputs'!$B$284</f>
        <v>4467.4089413878019</v>
      </c>
      <c r="AJ131" s="27">
        <f>AJ130*'Model Inputs'!$B$284</f>
        <v>4585.4495242823559</v>
      </c>
      <c r="AK131" s="27">
        <f>AK130*'Model Inputs'!$B$284</f>
        <v>4704.9837815753854</v>
      </c>
      <c r="AL131" s="27">
        <f>AL130*'Model Inputs'!$B$284</f>
        <v>4826.2583710697127</v>
      </c>
      <c r="AM131" s="27">
        <f>AM130*'Model Inputs'!$B$284</f>
        <v>4949.4706876455039</v>
      </c>
      <c r="AN131" s="27">
        <f>AN130*'Model Inputs'!$B$284</f>
        <v>4088.3430701191046</v>
      </c>
      <c r="AO131" s="27">
        <f>AO130*'Model Inputs'!$B$284</f>
        <v>4002.9967952865486</v>
      </c>
      <c r="AP131" s="27">
        <f>AP130*'Model Inputs'!$B$284</f>
        <v>4119.1100507260999</v>
      </c>
      <c r="AQ131" s="27">
        <f>AQ130*'Model Inputs'!$B$284</f>
        <v>1137.5768576725418</v>
      </c>
      <c r="AR131" s="27">
        <f>AR130*'Model Inputs'!$B$284</f>
        <v>0</v>
      </c>
      <c r="AS131" s="27">
        <f>AS130*'Model Inputs'!$B$284</f>
        <v>0</v>
      </c>
      <c r="AT131" s="27">
        <f>AT130*'Model Inputs'!$B$284</f>
        <v>0</v>
      </c>
      <c r="AU131" s="27">
        <f>AU130*'Model Inputs'!$B$284</f>
        <v>0</v>
      </c>
      <c r="AV131" s="27">
        <f>AV130*'Model Inputs'!$B$284</f>
        <v>0</v>
      </c>
      <c r="AW131" s="27">
        <f>AW130*'Model Inputs'!$B$284</f>
        <v>0</v>
      </c>
      <c r="AX131" s="27">
        <f>AX130*'Model Inputs'!$B$284</f>
        <v>0</v>
      </c>
      <c r="AY131" s="27">
        <f>AY130*'Model Inputs'!$B$284</f>
        <v>0</v>
      </c>
      <c r="AZ131" s="27">
        <f>AZ130*'Model Inputs'!$B$284</f>
        <v>0</v>
      </c>
      <c r="BA131" s="27">
        <f>BA130*'Model Inputs'!$B$284</f>
        <v>0</v>
      </c>
      <c r="BB131" s="27">
        <f>BB130*'Model Inputs'!$B$284</f>
        <v>0</v>
      </c>
      <c r="BC131" s="27">
        <f>BC130*'Model Inputs'!$B$284</f>
        <v>0</v>
      </c>
      <c r="BD131" s="27">
        <f>BD130*'Model Inputs'!$B$284</f>
        <v>0</v>
      </c>
      <c r="BE131" s="27">
        <f>BE130*'Model Inputs'!$B$284</f>
        <v>0</v>
      </c>
      <c r="BF131" s="27">
        <f>BF130*'Model Inputs'!$B$284</f>
        <v>0</v>
      </c>
      <c r="BG131" s="27">
        <f>BG130*'Model Inputs'!$B$284</f>
        <v>0</v>
      </c>
      <c r="BH131" s="27">
        <f>BH130*'Model Inputs'!$B$284</f>
        <v>0</v>
      </c>
      <c r="BI131" s="27">
        <f>BI130*'Model Inputs'!$B$284</f>
        <v>0</v>
      </c>
      <c r="BJ131" s="27">
        <f>BJ130*'Model Inputs'!$B$284</f>
        <v>0</v>
      </c>
      <c r="BK131" s="27">
        <f>BK130*'Model Inputs'!$B$284</f>
        <v>0</v>
      </c>
      <c r="BL131" s="27">
        <f>BL130*'Model Inputs'!$B$284</f>
        <v>0</v>
      </c>
      <c r="BM131" s="27">
        <f>BM130*'Model Inputs'!$B$284</f>
        <v>0</v>
      </c>
      <c r="BN131" s="27">
        <f>BN130*'Model Inputs'!$B$284</f>
        <v>0</v>
      </c>
      <c r="BO131" s="27">
        <f>BO130*'Model Inputs'!$B$284</f>
        <v>0</v>
      </c>
    </row>
    <row r="132" spans="1:67" ht="30" customHeight="1" x14ac:dyDescent="0.2">
      <c r="A132" s="5" t="s">
        <v>278</v>
      </c>
      <c r="B132" s="114">
        <f>IF(SUM(C131:BO131)=0,0,'Model Inputs'!B90/SUM(C131:BO131))</f>
        <v>1.3230332999288437</v>
      </c>
      <c r="H132" s="2" t="s">
        <v>279</v>
      </c>
    </row>
  </sheetData>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2F5496"/>
  </sheetPr>
  <dimension ref="A1:BO132"/>
  <sheetViews>
    <sheetView showGridLines="0" workbookViewId="0">
      <pane xSplit="2" ySplit="4" topLeftCell="C5" activePane="bottomRight" state="frozen"/>
      <selection pane="topRight"/>
      <selection pane="bottomLeft"/>
      <selection pane="bottomRight" activeCell="D92" sqref="D92"/>
    </sheetView>
  </sheetViews>
  <sheetFormatPr baseColWidth="10" defaultColWidth="8.5" defaultRowHeight="16" x14ac:dyDescent="0.2"/>
  <cols>
    <col min="1" max="1" width="48" customWidth="1"/>
    <col min="2" max="2" width="14" customWidth="1"/>
    <col min="3" max="42" width="11" customWidth="1"/>
    <col min="43" max="67" width="13" customWidth="1"/>
  </cols>
  <sheetData>
    <row r="1" spans="1:67" ht="17.25" customHeight="1" x14ac:dyDescent="0.2">
      <c r="A1" s="36" t="s">
        <v>280</v>
      </c>
    </row>
    <row r="2" spans="1:67" ht="15" customHeight="1" x14ac:dyDescent="0.2">
      <c r="A2" s="1" t="s">
        <v>176</v>
      </c>
    </row>
    <row r="4" spans="1:67" ht="15" customHeight="1" x14ac:dyDescent="0.2">
      <c r="A4" s="25" t="s">
        <v>177</v>
      </c>
      <c r="C4" s="55">
        <v>2026</v>
      </c>
      <c r="D4" s="55">
        <v>2027</v>
      </c>
      <c r="E4" s="55">
        <v>2028</v>
      </c>
      <c r="F4" s="55">
        <v>2029</v>
      </c>
      <c r="G4" s="55">
        <v>2030</v>
      </c>
      <c r="H4" s="55">
        <v>2031</v>
      </c>
      <c r="I4" s="55">
        <v>2032</v>
      </c>
      <c r="J4" s="55">
        <v>2033</v>
      </c>
      <c r="K4" s="55">
        <v>2034</v>
      </c>
      <c r="L4" s="55">
        <v>2035</v>
      </c>
      <c r="M4" s="55">
        <v>2036</v>
      </c>
      <c r="N4" s="55">
        <v>2037</v>
      </c>
      <c r="O4" s="55">
        <v>2038</v>
      </c>
      <c r="P4" s="55">
        <v>2039</v>
      </c>
      <c r="Q4" s="55">
        <v>2040</v>
      </c>
      <c r="R4" s="55">
        <v>2041</v>
      </c>
      <c r="S4" s="55">
        <v>2042</v>
      </c>
      <c r="T4" s="55">
        <v>2043</v>
      </c>
      <c r="U4" s="55">
        <v>2044</v>
      </c>
      <c r="V4" s="55">
        <v>2045</v>
      </c>
      <c r="W4" s="55">
        <v>2046</v>
      </c>
      <c r="X4" s="55">
        <v>2047</v>
      </c>
      <c r="Y4" s="55">
        <v>2048</v>
      </c>
      <c r="Z4" s="55">
        <v>2049</v>
      </c>
      <c r="AA4" s="55">
        <v>2050</v>
      </c>
      <c r="AB4" s="55">
        <v>2051</v>
      </c>
      <c r="AC4" s="55">
        <v>2052</v>
      </c>
      <c r="AD4" s="55">
        <v>2053</v>
      </c>
      <c r="AE4" s="55">
        <v>2054</v>
      </c>
      <c r="AF4" s="55">
        <v>2055</v>
      </c>
      <c r="AG4" s="55">
        <v>2056</v>
      </c>
      <c r="AH4" s="55">
        <v>2057</v>
      </c>
      <c r="AI4" s="55">
        <v>2058</v>
      </c>
      <c r="AJ4" s="55">
        <v>2059</v>
      </c>
      <c r="AK4" s="55">
        <v>2060</v>
      </c>
      <c r="AL4" s="55">
        <v>2061</v>
      </c>
      <c r="AM4" s="55">
        <v>2062</v>
      </c>
      <c r="AN4" s="55">
        <v>2063</v>
      </c>
      <c r="AO4" s="55">
        <v>2064</v>
      </c>
      <c r="AP4" s="55">
        <v>2065</v>
      </c>
      <c r="AQ4" s="56">
        <v>2066</v>
      </c>
      <c r="AR4" s="56">
        <v>2067</v>
      </c>
      <c r="AS4" s="56">
        <v>2068</v>
      </c>
      <c r="AT4" s="56">
        <v>2069</v>
      </c>
      <c r="AU4" s="56">
        <v>2070</v>
      </c>
      <c r="AV4" s="56">
        <v>2071</v>
      </c>
      <c r="AW4" s="56">
        <v>2072</v>
      </c>
      <c r="AX4" s="56">
        <v>2073</v>
      </c>
      <c r="AY4" s="56">
        <v>2074</v>
      </c>
      <c r="AZ4" s="56">
        <v>2075</v>
      </c>
      <c r="BA4" s="56">
        <v>2076</v>
      </c>
      <c r="BB4" s="56">
        <v>2077</v>
      </c>
      <c r="BC4" s="56">
        <v>2078</v>
      </c>
      <c r="BD4" s="56">
        <v>2079</v>
      </c>
      <c r="BE4" s="56">
        <v>2080</v>
      </c>
      <c r="BF4" s="56">
        <v>2081</v>
      </c>
      <c r="BG4" s="56">
        <v>2082</v>
      </c>
      <c r="BH4" s="56">
        <v>2083</v>
      </c>
      <c r="BI4" s="56">
        <v>2084</v>
      </c>
      <c r="BJ4" s="56">
        <v>2085</v>
      </c>
      <c r="BK4" s="56">
        <v>2086</v>
      </c>
      <c r="BL4" s="56">
        <v>2087</v>
      </c>
      <c r="BM4" s="56">
        <v>2088</v>
      </c>
      <c r="BN4" s="56">
        <v>2089</v>
      </c>
      <c r="BO4" s="56">
        <v>2090</v>
      </c>
    </row>
    <row r="5" spans="1:67" ht="15" customHeight="1" x14ac:dyDescent="0.2">
      <c r="A5" s="57" t="s">
        <v>178</v>
      </c>
      <c r="C5" s="58">
        <v>1</v>
      </c>
      <c r="D5" s="58">
        <v>2</v>
      </c>
      <c r="E5" s="58">
        <v>3</v>
      </c>
      <c r="F5" s="58">
        <v>4</v>
      </c>
      <c r="G5" s="58">
        <v>5</v>
      </c>
      <c r="H5" s="58">
        <v>6</v>
      </c>
      <c r="I5" s="58">
        <v>7</v>
      </c>
      <c r="J5" s="58">
        <v>8</v>
      </c>
      <c r="K5" s="58">
        <v>9</v>
      </c>
      <c r="L5" s="58">
        <v>10</v>
      </c>
      <c r="M5" s="58">
        <v>11</v>
      </c>
      <c r="N5" s="58">
        <v>12</v>
      </c>
      <c r="O5" s="58">
        <v>13</v>
      </c>
      <c r="P5" s="58">
        <v>14</v>
      </c>
      <c r="Q5" s="58">
        <v>15</v>
      </c>
      <c r="R5" s="58">
        <v>16</v>
      </c>
      <c r="S5" s="58">
        <v>17</v>
      </c>
      <c r="T5" s="58">
        <v>18</v>
      </c>
      <c r="U5" s="58">
        <v>19</v>
      </c>
      <c r="V5" s="58">
        <v>20</v>
      </c>
      <c r="W5" s="58">
        <v>21</v>
      </c>
      <c r="X5" s="58">
        <v>22</v>
      </c>
      <c r="Y5" s="58">
        <v>23</v>
      </c>
      <c r="Z5" s="58">
        <v>24</v>
      </c>
      <c r="AA5" s="58">
        <v>25</v>
      </c>
      <c r="AB5" s="58">
        <v>26</v>
      </c>
      <c r="AC5" s="58">
        <v>27</v>
      </c>
      <c r="AD5" s="58">
        <v>28</v>
      </c>
      <c r="AE5" s="58">
        <v>29</v>
      </c>
      <c r="AF5" s="58">
        <v>30</v>
      </c>
      <c r="AG5" s="58">
        <v>31</v>
      </c>
      <c r="AH5" s="58">
        <v>32</v>
      </c>
      <c r="AI5" s="58">
        <v>33</v>
      </c>
      <c r="AJ5" s="58">
        <v>34</v>
      </c>
      <c r="AK5" s="58">
        <v>35</v>
      </c>
      <c r="AL5" s="58">
        <v>36</v>
      </c>
      <c r="AM5" s="58">
        <v>37</v>
      </c>
      <c r="AN5" s="58">
        <v>38</v>
      </c>
      <c r="AO5" s="58">
        <v>39</v>
      </c>
      <c r="AP5" s="58">
        <v>40</v>
      </c>
      <c r="AQ5" s="40">
        <v>41</v>
      </c>
      <c r="AR5" s="40">
        <v>42</v>
      </c>
      <c r="AS5" s="40">
        <v>43</v>
      </c>
      <c r="AT5" s="40">
        <v>44</v>
      </c>
      <c r="AU5" s="40">
        <v>45</v>
      </c>
      <c r="AV5" s="40">
        <v>46</v>
      </c>
      <c r="AW5" s="40">
        <v>47</v>
      </c>
      <c r="AX5" s="40">
        <v>48</v>
      </c>
      <c r="AY5" s="40">
        <v>49</v>
      </c>
      <c r="AZ5" s="40">
        <v>50</v>
      </c>
      <c r="BA5" s="40">
        <v>51</v>
      </c>
      <c r="BB5" s="40">
        <v>52</v>
      </c>
      <c r="BC5" s="40">
        <v>53</v>
      </c>
      <c r="BD5" s="40">
        <v>54</v>
      </c>
      <c r="BE5" s="40">
        <v>55</v>
      </c>
      <c r="BF5" s="40">
        <v>56</v>
      </c>
      <c r="BG5" s="40">
        <v>57</v>
      </c>
      <c r="BH5" s="40">
        <v>58</v>
      </c>
      <c r="BI5" s="40">
        <v>59</v>
      </c>
      <c r="BJ5" s="40">
        <v>60</v>
      </c>
      <c r="BK5" s="40">
        <v>61</v>
      </c>
      <c r="BL5" s="40">
        <v>62</v>
      </c>
      <c r="BM5" s="40">
        <v>63</v>
      </c>
      <c r="BN5" s="40">
        <v>64</v>
      </c>
      <c r="BO5" s="40">
        <v>65</v>
      </c>
    </row>
    <row r="6" spans="1:67" ht="15" customHeight="1" x14ac:dyDescent="0.2">
      <c r="A6" s="14" t="s">
        <v>179</v>
      </c>
      <c r="C6" s="42">
        <f>1/(1+'Model Inputs'!$B$171)^(C5-'Model Inputs'!$B$7)</f>
        <v>0.95346258924559224</v>
      </c>
      <c r="D6" s="42">
        <f>1/(1+'Model Inputs'!$B$171)^(D5-'Model Inputs'!$B$7)</f>
        <v>0.86678417204144742</v>
      </c>
      <c r="E6" s="42">
        <f>1/(1+'Model Inputs'!$B$171)^(E5-'Model Inputs'!$B$7)</f>
        <v>0.78798561094677033</v>
      </c>
      <c r="F6" s="42">
        <f>1/(1+'Model Inputs'!$B$171)^(F5-'Model Inputs'!$B$7)</f>
        <v>0.71635055540615489</v>
      </c>
      <c r="G6" s="42">
        <f>1/(1+'Model Inputs'!$B$171)^(G5-'Model Inputs'!$B$7)</f>
        <v>0.65122777764195883</v>
      </c>
      <c r="H6" s="42">
        <f>1/(1+'Model Inputs'!$B$171)^(H5-'Model Inputs'!$B$7)</f>
        <v>0.59202525240178083</v>
      </c>
      <c r="I6" s="42">
        <f>1/(1+'Model Inputs'!$B$171)^(I5-'Model Inputs'!$B$7)</f>
        <v>0.53820477491070973</v>
      </c>
      <c r="J6" s="42">
        <f>1/(1+'Model Inputs'!$B$171)^(J5-'Model Inputs'!$B$7)</f>
        <v>0.48927706810064514</v>
      </c>
      <c r="K6" s="42">
        <f>1/(1+'Model Inputs'!$B$171)^(K5-'Model Inputs'!$B$7)</f>
        <v>0.44479733463695009</v>
      </c>
      <c r="L6" s="42">
        <f>1/(1+'Model Inputs'!$B$171)^(L5-'Model Inputs'!$B$7)</f>
        <v>0.4043612133063183</v>
      </c>
      <c r="M6" s="42">
        <f>1/(1+'Model Inputs'!$B$171)^(M5-'Model Inputs'!$B$7)</f>
        <v>0.36760110300574383</v>
      </c>
      <c r="N6" s="42">
        <f>1/(1+'Model Inputs'!$B$171)^(N5-'Model Inputs'!$B$7)</f>
        <v>0.33418282091431251</v>
      </c>
      <c r="O6" s="42">
        <f>1/(1+'Model Inputs'!$B$171)^(O5-'Model Inputs'!$B$7)</f>
        <v>0.30380256446755688</v>
      </c>
      <c r="P6" s="42">
        <f>1/(1+'Model Inputs'!$B$171)^(P5-'Model Inputs'!$B$7)</f>
        <v>0.27618414951596076</v>
      </c>
      <c r="Q6" s="42">
        <f>1/(1+'Model Inputs'!$B$171)^(Q5-'Model Inputs'!$B$7)</f>
        <v>0.25107649955996431</v>
      </c>
      <c r="R6" s="42">
        <f>1/(1+'Model Inputs'!$B$171)^(R5-'Model Inputs'!$B$7)</f>
        <v>0.22825136323633116</v>
      </c>
      <c r="S6" s="42">
        <f>1/(1+'Model Inputs'!$B$171)^(S5-'Model Inputs'!$B$7)</f>
        <v>0.20750123930575562</v>
      </c>
      <c r="T6" s="42">
        <f>1/(1+'Model Inputs'!$B$171)^(T5-'Model Inputs'!$B$7)</f>
        <v>0.18863749027795962</v>
      </c>
      <c r="U6" s="42">
        <f>1/(1+'Model Inputs'!$B$171)^(U5-'Model Inputs'!$B$7)</f>
        <v>0.17148862752541782</v>
      </c>
      <c r="V6" s="42">
        <f>1/(1+'Model Inputs'!$B$171)^(V5-'Model Inputs'!$B$7)</f>
        <v>0.15589875229583436</v>
      </c>
      <c r="W6" s="42">
        <f>1/(1+'Model Inputs'!$B$171)^(W5-'Model Inputs'!$B$7)</f>
        <v>0.14172613845075852</v>
      </c>
      <c r="X6" s="42">
        <f>1/(1+'Model Inputs'!$B$171)^(X5-'Model Inputs'!$B$7)</f>
        <v>0.1288419440461441</v>
      </c>
      <c r="Y6" s="42">
        <f>1/(1+'Model Inputs'!$B$171)^(Y5-'Model Inputs'!$B$7)</f>
        <v>0.11712904004194918</v>
      </c>
      <c r="Z6" s="42">
        <f>1/(1+'Model Inputs'!$B$171)^(Z5-'Model Inputs'!$B$7)</f>
        <v>0.10648094549268106</v>
      </c>
      <c r="AA6" s="42">
        <f>1/(1+'Model Inputs'!$B$171)^(AA5-'Model Inputs'!$B$7)</f>
        <v>9.6800859538800965E-2</v>
      </c>
      <c r="AB6" s="42">
        <f>1/(1+'Model Inputs'!$B$171)^(AB5-'Model Inputs'!$B$7)</f>
        <v>8.8000781398909919E-2</v>
      </c>
      <c r="AC6" s="42">
        <f>1/(1+'Model Inputs'!$B$171)^(AC5-'Model Inputs'!$B$7)</f>
        <v>8.0000710362645402E-2</v>
      </c>
      <c r="AD6" s="42">
        <f>1/(1+'Model Inputs'!$B$171)^(AD5-'Model Inputs'!$B$7)</f>
        <v>7.272791851149582E-2</v>
      </c>
      <c r="AE6" s="42">
        <f>1/(1+'Model Inputs'!$B$171)^(AE5-'Model Inputs'!$B$7)</f>
        <v>6.6116289555905275E-2</v>
      </c>
      <c r="AF6" s="42">
        <f>1/(1+'Model Inputs'!$B$171)^(AF5-'Model Inputs'!$B$7)</f>
        <v>6.0105717778095702E-2</v>
      </c>
      <c r="AG6" s="42">
        <f>1/(1+'Model Inputs'!$B$171)^(AG5-'Model Inputs'!$B$7)</f>
        <v>5.4641561616450646E-2</v>
      </c>
      <c r="AH6" s="42">
        <f>1/(1+'Model Inputs'!$B$171)^(AH5-'Model Inputs'!$B$7)</f>
        <v>4.967414692404603E-2</v>
      </c>
      <c r="AI6" s="42">
        <f>1/(1+'Model Inputs'!$B$171)^(AI5-'Model Inputs'!$B$7)</f>
        <v>4.5158315385496389E-2</v>
      </c>
      <c r="AJ6" s="42">
        <f>1/(1+'Model Inputs'!$B$171)^(AJ5-'Model Inputs'!$B$7)</f>
        <v>4.1053013986814886E-2</v>
      </c>
      <c r="AK6" s="42">
        <f>1/(1+'Model Inputs'!$B$171)^(AK5-'Model Inputs'!$B$7)</f>
        <v>3.7320921806195353E-2</v>
      </c>
      <c r="AL6" s="42">
        <f>1/(1+'Model Inputs'!$B$171)^(AL5-'Model Inputs'!$B$7)</f>
        <v>3.3928110732904866E-2</v>
      </c>
      <c r="AM6" s="42">
        <f>1/(1+'Model Inputs'!$B$171)^(AM5-'Model Inputs'!$B$7)</f>
        <v>3.0843737029913505E-2</v>
      </c>
      <c r="AN6" s="42">
        <f>1/(1+'Model Inputs'!$B$171)^(AN5-'Model Inputs'!$B$7)</f>
        <v>2.8039760936285012E-2</v>
      </c>
      <c r="AO6" s="42">
        <f>1/(1+'Model Inputs'!$B$171)^(AO5-'Model Inputs'!$B$7)</f>
        <v>2.5490691760259102E-2</v>
      </c>
      <c r="AP6" s="42">
        <f>1/(1+'Model Inputs'!$B$171)^(AP5-'Model Inputs'!$B$7)</f>
        <v>2.3173356145690084E-2</v>
      </c>
      <c r="AQ6" s="42">
        <f>1/(1+'Model Inputs'!$B$171)^(AQ5-'Model Inputs'!$B$7)</f>
        <v>2.1066687405172806E-2</v>
      </c>
      <c r="AR6" s="42">
        <f>1/(1+'Model Inputs'!$B$171)^(AR5-'Model Inputs'!$B$7)</f>
        <v>1.9151534004702545E-2</v>
      </c>
      <c r="AS6" s="42">
        <f>1/(1+'Model Inputs'!$B$171)^(AS5-'Model Inputs'!$B$7)</f>
        <v>1.7410485458820502E-2</v>
      </c>
      <c r="AT6" s="42">
        <f>1/(1+'Model Inputs'!$B$171)^(AT5-'Model Inputs'!$B$7)</f>
        <v>1.5827714053473173E-2</v>
      </c>
      <c r="AU6" s="42">
        <f>1/(1+'Model Inputs'!$B$171)^(AU5-'Model Inputs'!$B$7)</f>
        <v>1.4388830957702884E-2</v>
      </c>
      <c r="AV6" s="42">
        <f>1/(1+'Model Inputs'!$B$171)^(AV5-'Model Inputs'!$B$7)</f>
        <v>1.3080755416093532E-2</v>
      </c>
      <c r="AW6" s="42">
        <f>1/(1+'Model Inputs'!$B$171)^(AW5-'Model Inputs'!$B$7)</f>
        <v>1.1891595832812305E-2</v>
      </c>
      <c r="AX6" s="42">
        <f>1/(1+'Model Inputs'!$B$171)^(AX5-'Model Inputs'!$B$7)</f>
        <v>1.0810541666193005E-2</v>
      </c>
      <c r="AY6" s="42">
        <f>1/(1+'Model Inputs'!$B$171)^(AY5-'Model Inputs'!$B$7)</f>
        <v>9.8277651510845412E-3</v>
      </c>
      <c r="AZ6" s="42">
        <f>1/(1+'Model Inputs'!$B$171)^(AZ5-'Model Inputs'!$B$7)</f>
        <v>8.9343319555314025E-3</v>
      </c>
      <c r="BA6" s="42">
        <f>1/(1+'Model Inputs'!$B$171)^(BA5-'Model Inputs'!$B$7)</f>
        <v>8.1221199595740041E-3</v>
      </c>
      <c r="BB6" s="42">
        <f>1/(1+'Model Inputs'!$B$171)^(BB5-'Model Inputs'!$B$7)</f>
        <v>7.3837454177945487E-3</v>
      </c>
      <c r="BC6" s="42">
        <f>1/(1+'Model Inputs'!$B$171)^(BC5-'Model Inputs'!$B$7)</f>
        <v>6.7124958343586817E-3</v>
      </c>
      <c r="BD6" s="42">
        <f>1/(1+'Model Inputs'!$B$171)^(BD5-'Model Inputs'!$B$7)</f>
        <v>6.1022689403260697E-3</v>
      </c>
      <c r="BE6" s="42">
        <f>1/(1+'Model Inputs'!$B$171)^(BE5-'Model Inputs'!$B$7)</f>
        <v>5.5475172184782451E-3</v>
      </c>
      <c r="BF6" s="42">
        <f>1/(1+'Model Inputs'!$B$171)^(BF5-'Model Inputs'!$B$7)</f>
        <v>5.0431974713438599E-3</v>
      </c>
      <c r="BG6" s="42">
        <f>1/(1+'Model Inputs'!$B$171)^(BG5-'Model Inputs'!$B$7)</f>
        <v>4.5847249739489641E-3</v>
      </c>
      <c r="BH6" s="42">
        <f>1/(1+'Model Inputs'!$B$171)^(BH5-'Model Inputs'!$B$7)</f>
        <v>4.1679317944990591E-3</v>
      </c>
      <c r="BI6" s="42">
        <f>1/(1+'Model Inputs'!$B$171)^(BI5-'Model Inputs'!$B$7)</f>
        <v>3.7890289040900535E-3</v>
      </c>
      <c r="BJ6" s="42">
        <f>1/(1+'Model Inputs'!$B$171)^(BJ5-'Model Inputs'!$B$7)</f>
        <v>3.4445717309909553E-3</v>
      </c>
      <c r="BK6" s="42">
        <f>1/(1+'Model Inputs'!$B$171)^(BK5-'Model Inputs'!$B$7)</f>
        <v>3.1314288463554136E-3</v>
      </c>
      <c r="BL6" s="42">
        <f>1/(1+'Model Inputs'!$B$171)^(BL5-'Model Inputs'!$B$7)</f>
        <v>2.8467534966867404E-3</v>
      </c>
      <c r="BM6" s="42">
        <f>1/(1+'Model Inputs'!$B$171)^(BM5-'Model Inputs'!$B$7)</f>
        <v>2.5879577242606732E-3</v>
      </c>
      <c r="BN6" s="42">
        <f>1/(1+'Model Inputs'!$B$171)^(BN5-'Model Inputs'!$B$7)</f>
        <v>2.3526888402369758E-3</v>
      </c>
      <c r="BO6" s="42">
        <f>1/(1+'Model Inputs'!$B$171)^(BO5-'Model Inputs'!$B$7)</f>
        <v>2.1388080365790673E-3</v>
      </c>
    </row>
    <row r="8" spans="1:67" ht="15" customHeight="1" x14ac:dyDescent="0.2">
      <c r="A8" s="29" t="s">
        <v>180</v>
      </c>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row>
    <row r="9" spans="1:67" ht="15" customHeight="1" x14ac:dyDescent="0.2">
      <c r="A9" s="14" t="s">
        <v>181</v>
      </c>
      <c r="B9" s="22"/>
      <c r="C9" s="38">
        <f>'Model Inputs'!B41</f>
        <v>72.33</v>
      </c>
      <c r="D9" s="38">
        <f>'Model Inputs'!C41*'Sensitivities 2P'!$B$5</f>
        <v>73.17</v>
      </c>
      <c r="E9" s="38">
        <f>'Model Inputs'!D41*'Sensitivities 2P'!$B$5</f>
        <v>74.010000000000005</v>
      </c>
      <c r="F9" s="38">
        <f>'Model Inputs'!E41*'Sensitivities 2P'!$B$5</f>
        <v>73.31</v>
      </c>
      <c r="G9" s="38">
        <f>'Model Inputs'!F41*'Sensitivities 2P'!$B$5</f>
        <v>74.78</v>
      </c>
      <c r="H9" s="38">
        <f>G9*(1+'Model Inputs'!$B$10)</f>
        <v>76.275599999999997</v>
      </c>
      <c r="I9" s="38">
        <f>H9*(1+'Model Inputs'!$B$10)</f>
        <v>77.801112000000003</v>
      </c>
      <c r="J9" s="38">
        <f>I9*(1+'Model Inputs'!$B$10)</f>
        <v>79.357134240000008</v>
      </c>
      <c r="K9" s="38">
        <f>J9*(1+'Model Inputs'!$B$10)</f>
        <v>80.944276924800008</v>
      </c>
      <c r="L9" s="38">
        <f>K9*(1+'Model Inputs'!$B$10)</f>
        <v>82.56316246329601</v>
      </c>
      <c r="M9" s="38">
        <f>L9*(1+'Model Inputs'!$B$10)</f>
        <v>84.214425712561933</v>
      </c>
      <c r="N9" s="38">
        <f>M9*(1+'Model Inputs'!$B$10)</f>
        <v>85.898714226813169</v>
      </c>
      <c r="O9" s="38">
        <f>N9*(1+'Model Inputs'!$B$10)</f>
        <v>87.616688511349437</v>
      </c>
      <c r="P9" s="38">
        <f>O9*(1+'Model Inputs'!$B$10)</f>
        <v>89.369022281576434</v>
      </c>
      <c r="Q9" s="38">
        <f>P9*(1+'Model Inputs'!$B$10)</f>
        <v>91.156402727207961</v>
      </c>
      <c r="R9" s="38">
        <f>Q9*(1+'Model Inputs'!$B$10)</f>
        <v>92.979530781752118</v>
      </c>
      <c r="S9" s="38">
        <f>R9*(1+'Model Inputs'!$B$10)</f>
        <v>94.83912139738716</v>
      </c>
      <c r="T9" s="38">
        <f>S9*(1+'Model Inputs'!$B$10)</f>
        <v>96.735903825334901</v>
      </c>
      <c r="U9" s="38">
        <f>T9*(1+'Model Inputs'!$B$10)</f>
        <v>98.670621901841599</v>
      </c>
      <c r="V9" s="38">
        <f>U9*(1+'Model Inputs'!$B$10)</f>
        <v>100.64403433987843</v>
      </c>
      <c r="W9" s="38">
        <f>V9*(1+'Model Inputs'!$B$10)</f>
        <v>102.656915026676</v>
      </c>
      <c r="X9" s="38">
        <f>W9*(1+'Model Inputs'!$B$10)</f>
        <v>104.71005332720952</v>
      </c>
      <c r="Y9" s="38">
        <f>X9*(1+'Model Inputs'!$B$10)</f>
        <v>106.80425439375371</v>
      </c>
      <c r="Z9" s="38">
        <f>Y9*(1+'Model Inputs'!$B$10)</f>
        <v>108.94033948162878</v>
      </c>
      <c r="AA9" s="38">
        <f>Z9*(1+'Model Inputs'!$B$10)</f>
        <v>111.11914627126136</v>
      </c>
      <c r="AB9" s="38">
        <f>AA9*(1+'Model Inputs'!$B$10)</f>
        <v>113.34152919668658</v>
      </c>
      <c r="AC9" s="38">
        <f>AB9*(1+'Model Inputs'!$B$10)</f>
        <v>115.60835978062032</v>
      </c>
      <c r="AD9" s="38">
        <f>AC9*(1+'Model Inputs'!$B$10)</f>
        <v>117.92052697623272</v>
      </c>
      <c r="AE9" s="38">
        <f>AD9*(1+'Model Inputs'!$B$10)</f>
        <v>120.27893751575738</v>
      </c>
      <c r="AF9" s="38">
        <f>AE9*(1+'Model Inputs'!$B$10)</f>
        <v>122.68451626607252</v>
      </c>
      <c r="AG9" s="38">
        <f>AF9*(1+'Model Inputs'!$B$10)</f>
        <v>125.13820659139397</v>
      </c>
      <c r="AH9" s="38">
        <f>AG9*(1+'Model Inputs'!$B$10)</f>
        <v>127.64097072322186</v>
      </c>
      <c r="AI9" s="38">
        <f>AH9*(1+'Model Inputs'!$B$10)</f>
        <v>130.19379013768631</v>
      </c>
      <c r="AJ9" s="38">
        <f>AI9*(1+'Model Inputs'!$B$10)</f>
        <v>132.79766594044003</v>
      </c>
      <c r="AK9" s="38">
        <f>AJ9*(1+'Model Inputs'!$B$10)</f>
        <v>135.45361925924882</v>
      </c>
      <c r="AL9" s="38">
        <f>AK9*(1+'Model Inputs'!$B$10)</f>
        <v>138.16269164443381</v>
      </c>
      <c r="AM9" s="38">
        <f>AL9*(1+'Model Inputs'!$B$10)</f>
        <v>140.92594547732247</v>
      </c>
      <c r="AN9" s="38">
        <f>AM9*(1+'Model Inputs'!$B$10)</f>
        <v>143.74446438686891</v>
      </c>
      <c r="AO9" s="38">
        <f>AN9*(1+'Model Inputs'!$B$10)</f>
        <v>146.61935367460629</v>
      </c>
      <c r="AP9" s="38">
        <f>AO9*(1+'Model Inputs'!$B$10)</f>
        <v>149.55174074809841</v>
      </c>
      <c r="AQ9" s="38">
        <f>AP9*(1+'Model Inputs'!$B$10)</f>
        <v>152.54277556306039</v>
      </c>
      <c r="AR9" s="38">
        <f>AQ9*(1+'Model Inputs'!$B$10)</f>
        <v>155.59363107432159</v>
      </c>
      <c r="AS9" s="38">
        <f>AR9*(1+'Model Inputs'!$B$10)</f>
        <v>158.70550369580803</v>
      </c>
      <c r="AT9" s="38">
        <f>AS9*(1+'Model Inputs'!$B$10)</f>
        <v>161.87961376972419</v>
      </c>
      <c r="AU9" s="38">
        <f>AT9*(1+'Model Inputs'!$B$10)</f>
        <v>165.11720604511868</v>
      </c>
      <c r="AV9" s="38">
        <f>AU9*(1+'Model Inputs'!$B$10)</f>
        <v>168.41955016602105</v>
      </c>
      <c r="AW9" s="38">
        <f>AV9*(1+'Model Inputs'!$B$10)</f>
        <v>171.78794116934148</v>
      </c>
      <c r="AX9" s="38">
        <f>AW9*(1+'Model Inputs'!$B$10)</f>
        <v>175.22369999272831</v>
      </c>
      <c r="AY9" s="38">
        <f>AX9*(1+'Model Inputs'!$B$10)</f>
        <v>178.7281739925829</v>
      </c>
      <c r="AZ9" s="38">
        <f>AY9*(1+'Model Inputs'!$B$10)</f>
        <v>182.30273747243456</v>
      </c>
      <c r="BA9" s="38">
        <f>AZ9*(1+'Model Inputs'!$B$10)</f>
        <v>185.94879222188325</v>
      </c>
      <c r="BB9" s="38">
        <f>BA9*(1+'Model Inputs'!$B$10)</f>
        <v>189.66776806632092</v>
      </c>
      <c r="BC9" s="38">
        <f>BB9*(1+'Model Inputs'!$B$10)</f>
        <v>193.46112342764735</v>
      </c>
      <c r="BD9" s="38">
        <f>BC9*(1+'Model Inputs'!$B$10)</f>
        <v>197.3303458962003</v>
      </c>
      <c r="BE9" s="38">
        <f>BD9*(1+'Model Inputs'!$B$10)</f>
        <v>201.27695281412431</v>
      </c>
      <c r="BF9" s="38">
        <f>BE9*(1+'Model Inputs'!$B$10)</f>
        <v>205.30249187040681</v>
      </c>
      <c r="BG9" s="38">
        <f>BF9*(1+'Model Inputs'!$B$10)</f>
        <v>209.40854170781495</v>
      </c>
      <c r="BH9" s="38">
        <f>BG9*(1+'Model Inputs'!$B$10)</f>
        <v>213.59671254197124</v>
      </c>
      <c r="BI9" s="38">
        <f>BH9*(1+'Model Inputs'!$B$10)</f>
        <v>217.86864679281067</v>
      </c>
      <c r="BJ9" s="38">
        <f>BI9*(1+'Model Inputs'!$B$10)</f>
        <v>222.22601972866687</v>
      </c>
      <c r="BK9" s="38">
        <f>BJ9*(1+'Model Inputs'!$B$10)</f>
        <v>226.67054012324022</v>
      </c>
      <c r="BL9" s="38">
        <f>BK9*(1+'Model Inputs'!$B$10)</f>
        <v>231.20395092570502</v>
      </c>
      <c r="BM9" s="38">
        <f>BL9*(1+'Model Inputs'!$B$10)</f>
        <v>235.82802994421911</v>
      </c>
      <c r="BN9" s="38">
        <f>BM9*(1+'Model Inputs'!$B$10)</f>
        <v>240.54459054310351</v>
      </c>
      <c r="BO9" s="38">
        <f>BN9*(1+'Model Inputs'!$B$10)</f>
        <v>245.35548235396558</v>
      </c>
    </row>
    <row r="10" spans="1:67" ht="15" customHeight="1" x14ac:dyDescent="0.2">
      <c r="A10" s="14" t="s">
        <v>182</v>
      </c>
      <c r="B10" s="59"/>
      <c r="C10" s="42">
        <f>'Model Inputs'!B42</f>
        <v>0.7167</v>
      </c>
      <c r="D10" s="42">
        <f>'Model Inputs'!C42</f>
        <v>0.73</v>
      </c>
      <c r="E10" s="42">
        <f>1/'Sensitivities 2P'!$B$12</f>
        <v>0.73999999997336008</v>
      </c>
      <c r="F10" s="42">
        <f>1/'Sensitivities 2P'!$B$12</f>
        <v>0.73999999997336008</v>
      </c>
      <c r="G10" s="42">
        <f>1/'Sensitivities 2P'!$B$12</f>
        <v>0.73999999997336008</v>
      </c>
      <c r="H10" s="60">
        <f t="shared" ref="H10:AM10" si="0">G10</f>
        <v>0.73999999997336008</v>
      </c>
      <c r="I10" s="60">
        <f t="shared" si="0"/>
        <v>0.73999999997336008</v>
      </c>
      <c r="J10" s="60">
        <f t="shared" si="0"/>
        <v>0.73999999997336008</v>
      </c>
      <c r="K10" s="60">
        <f t="shared" si="0"/>
        <v>0.73999999997336008</v>
      </c>
      <c r="L10" s="60">
        <f t="shared" si="0"/>
        <v>0.73999999997336008</v>
      </c>
      <c r="M10" s="60">
        <f t="shared" si="0"/>
        <v>0.73999999997336008</v>
      </c>
      <c r="N10" s="60">
        <f t="shared" si="0"/>
        <v>0.73999999997336008</v>
      </c>
      <c r="O10" s="60">
        <f t="shared" si="0"/>
        <v>0.73999999997336008</v>
      </c>
      <c r="P10" s="60">
        <f t="shared" si="0"/>
        <v>0.73999999997336008</v>
      </c>
      <c r="Q10" s="60">
        <f t="shared" si="0"/>
        <v>0.73999999997336008</v>
      </c>
      <c r="R10" s="60">
        <f t="shared" si="0"/>
        <v>0.73999999997336008</v>
      </c>
      <c r="S10" s="60">
        <f t="shared" si="0"/>
        <v>0.73999999997336008</v>
      </c>
      <c r="T10" s="60">
        <f t="shared" si="0"/>
        <v>0.73999999997336008</v>
      </c>
      <c r="U10" s="60">
        <f t="shared" si="0"/>
        <v>0.73999999997336008</v>
      </c>
      <c r="V10" s="60">
        <f t="shared" si="0"/>
        <v>0.73999999997336008</v>
      </c>
      <c r="W10" s="60">
        <f t="shared" si="0"/>
        <v>0.73999999997336008</v>
      </c>
      <c r="X10" s="60">
        <f t="shared" si="0"/>
        <v>0.73999999997336008</v>
      </c>
      <c r="Y10" s="60">
        <f t="shared" si="0"/>
        <v>0.73999999997336008</v>
      </c>
      <c r="Z10" s="60">
        <f t="shared" si="0"/>
        <v>0.73999999997336008</v>
      </c>
      <c r="AA10" s="60">
        <f t="shared" si="0"/>
        <v>0.73999999997336008</v>
      </c>
      <c r="AB10" s="60">
        <f t="shared" si="0"/>
        <v>0.73999999997336008</v>
      </c>
      <c r="AC10" s="60">
        <f t="shared" si="0"/>
        <v>0.73999999997336008</v>
      </c>
      <c r="AD10" s="60">
        <f t="shared" si="0"/>
        <v>0.73999999997336008</v>
      </c>
      <c r="AE10" s="60">
        <f t="shared" si="0"/>
        <v>0.73999999997336008</v>
      </c>
      <c r="AF10" s="60">
        <f t="shared" si="0"/>
        <v>0.73999999997336008</v>
      </c>
      <c r="AG10" s="60">
        <f t="shared" si="0"/>
        <v>0.73999999997336008</v>
      </c>
      <c r="AH10" s="60">
        <f t="shared" si="0"/>
        <v>0.73999999997336008</v>
      </c>
      <c r="AI10" s="60">
        <f t="shared" si="0"/>
        <v>0.73999999997336008</v>
      </c>
      <c r="AJ10" s="60">
        <f t="shared" si="0"/>
        <v>0.73999999997336008</v>
      </c>
      <c r="AK10" s="60">
        <f t="shared" si="0"/>
        <v>0.73999999997336008</v>
      </c>
      <c r="AL10" s="60">
        <f t="shared" si="0"/>
        <v>0.73999999997336008</v>
      </c>
      <c r="AM10" s="60">
        <f t="shared" si="0"/>
        <v>0.73999999997336008</v>
      </c>
      <c r="AN10" s="60">
        <f t="shared" ref="AN10:BO10" si="1">AM10</f>
        <v>0.73999999997336008</v>
      </c>
      <c r="AO10" s="60">
        <f t="shared" si="1"/>
        <v>0.73999999997336008</v>
      </c>
      <c r="AP10" s="60">
        <f t="shared" si="1"/>
        <v>0.73999999997336008</v>
      </c>
      <c r="AQ10" s="60">
        <f t="shared" si="1"/>
        <v>0.73999999997336008</v>
      </c>
      <c r="AR10" s="60">
        <f t="shared" si="1"/>
        <v>0.73999999997336008</v>
      </c>
      <c r="AS10" s="60">
        <f t="shared" si="1"/>
        <v>0.73999999997336008</v>
      </c>
      <c r="AT10" s="60">
        <f t="shared" si="1"/>
        <v>0.73999999997336008</v>
      </c>
      <c r="AU10" s="60">
        <f t="shared" si="1"/>
        <v>0.73999999997336008</v>
      </c>
      <c r="AV10" s="60">
        <f t="shared" si="1"/>
        <v>0.73999999997336008</v>
      </c>
      <c r="AW10" s="60">
        <f t="shared" si="1"/>
        <v>0.73999999997336008</v>
      </c>
      <c r="AX10" s="60">
        <f t="shared" si="1"/>
        <v>0.73999999997336008</v>
      </c>
      <c r="AY10" s="60">
        <f t="shared" si="1"/>
        <v>0.73999999997336008</v>
      </c>
      <c r="AZ10" s="60">
        <f t="shared" si="1"/>
        <v>0.73999999997336008</v>
      </c>
      <c r="BA10" s="60">
        <f t="shared" si="1"/>
        <v>0.73999999997336008</v>
      </c>
      <c r="BB10" s="60">
        <f t="shared" si="1"/>
        <v>0.73999999997336008</v>
      </c>
      <c r="BC10" s="60">
        <f t="shared" si="1"/>
        <v>0.73999999997336008</v>
      </c>
      <c r="BD10" s="60">
        <f t="shared" si="1"/>
        <v>0.73999999997336008</v>
      </c>
      <c r="BE10" s="60">
        <f t="shared" si="1"/>
        <v>0.73999999997336008</v>
      </c>
      <c r="BF10" s="60">
        <f t="shared" si="1"/>
        <v>0.73999999997336008</v>
      </c>
      <c r="BG10" s="60">
        <f t="shared" si="1"/>
        <v>0.73999999997336008</v>
      </c>
      <c r="BH10" s="60">
        <f t="shared" si="1"/>
        <v>0.73999999997336008</v>
      </c>
      <c r="BI10" s="60">
        <f t="shared" si="1"/>
        <v>0.73999999997336008</v>
      </c>
      <c r="BJ10" s="60">
        <f t="shared" si="1"/>
        <v>0.73999999997336008</v>
      </c>
      <c r="BK10" s="60">
        <f t="shared" si="1"/>
        <v>0.73999999997336008</v>
      </c>
      <c r="BL10" s="60">
        <f t="shared" si="1"/>
        <v>0.73999999997336008</v>
      </c>
      <c r="BM10" s="60">
        <f t="shared" si="1"/>
        <v>0.73999999997336008</v>
      </c>
      <c r="BN10" s="60">
        <f t="shared" si="1"/>
        <v>0.73999999997336008</v>
      </c>
      <c r="BO10" s="60">
        <f t="shared" si="1"/>
        <v>0.73999999997336008</v>
      </c>
    </row>
    <row r="11" spans="1:67" ht="15" customHeight="1" x14ac:dyDescent="0.2">
      <c r="A11" s="14" t="s">
        <v>183</v>
      </c>
      <c r="B11" s="22"/>
      <c r="C11" s="38">
        <f>'Model Inputs'!B43+'Sensitivities 2P'!$B$6/C10</f>
        <v>82.05</v>
      </c>
      <c r="D11" s="38">
        <f>'Model Inputs'!C43*'Sensitivities 2P'!$B$5+'Sensitivities 2P'!$B$6/D10</f>
        <v>81.489999999999995</v>
      </c>
      <c r="E11" s="38">
        <f>'Model Inputs'!D43*'Sensitivities 2P'!$B$5*('Sensitivities 2P'!$B$12*'Model Inputs'!D42)+'Sensitivities 2P'!$B$6/E10</f>
        <v>81.345617570496003</v>
      </c>
      <c r="F11" s="38">
        <f>'Model Inputs'!E43*'Sensitivities 2P'!$B$5*('Sensitivities 2P'!$B$12*'Model Inputs'!E42)+'Sensitivities 2P'!$B$6/F10</f>
        <v>80.459586489383028</v>
      </c>
      <c r="G11" s="38">
        <f>'Model Inputs'!F43*'Sensitivities 2P'!$B$5*('Sensitivities 2P'!$B$12*'Model Inputs'!F42)+'Sensitivities 2P'!$B$6/G10</f>
        <v>82.072362165116758</v>
      </c>
      <c r="H11" s="38">
        <f>G11*(1+'Model Inputs'!$B$10)</f>
        <v>83.713809408419095</v>
      </c>
      <c r="I11" s="38">
        <f>H11*(1+'Model Inputs'!$B$10)</f>
        <v>85.388085596587473</v>
      </c>
      <c r="J11" s="38">
        <f>I11*(1+'Model Inputs'!$B$10)</f>
        <v>87.095847308519225</v>
      </c>
      <c r="K11" s="38">
        <f>J11*(1+'Model Inputs'!$B$10)</f>
        <v>88.837764254689617</v>
      </c>
      <c r="L11" s="38">
        <f>K11*(1+'Model Inputs'!$B$10)</f>
        <v>90.614519539783416</v>
      </c>
      <c r="M11" s="38">
        <f>L11*(1+'Model Inputs'!$B$10)</f>
        <v>92.426809930579083</v>
      </c>
      <c r="N11" s="38">
        <f>M11*(1+'Model Inputs'!$B$10)</f>
        <v>94.275346129190666</v>
      </c>
      <c r="O11" s="38">
        <f>N11*(1+'Model Inputs'!$B$10)</f>
        <v>96.160853051774481</v>
      </c>
      <c r="P11" s="38">
        <f>O11*(1+'Model Inputs'!$B$10)</f>
        <v>98.084070112809968</v>
      </c>
      <c r="Q11" s="38">
        <f>P11*(1+'Model Inputs'!$B$10)</f>
        <v>100.04575151506617</v>
      </c>
      <c r="R11" s="38">
        <f>Q11*(1+'Model Inputs'!$B$10)</f>
        <v>102.0466665453675</v>
      </c>
      <c r="S11" s="38">
        <f>R11*(1+'Model Inputs'!$B$10)</f>
        <v>104.08759987627485</v>
      </c>
      <c r="T11" s="38">
        <f>S11*(1+'Model Inputs'!$B$10)</f>
        <v>106.16935187380035</v>
      </c>
      <c r="U11" s="38">
        <f>T11*(1+'Model Inputs'!$B$10)</f>
        <v>108.29273891127636</v>
      </c>
      <c r="V11" s="38">
        <f>U11*(1+'Model Inputs'!$B$10)</f>
        <v>110.45859368950188</v>
      </c>
      <c r="W11" s="38">
        <f>V11*(1+'Model Inputs'!$B$10)</f>
        <v>112.66776556329192</v>
      </c>
      <c r="X11" s="38">
        <f>W11*(1+'Model Inputs'!$B$10)</f>
        <v>114.92112087455776</v>
      </c>
      <c r="Y11" s="38">
        <f>X11*(1+'Model Inputs'!$B$10)</f>
        <v>117.21954329204891</v>
      </c>
      <c r="Z11" s="38">
        <f>Y11*(1+'Model Inputs'!$B$10)</f>
        <v>119.56393415788989</v>
      </c>
      <c r="AA11" s="38">
        <f>Z11*(1+'Model Inputs'!$B$10)</f>
        <v>121.95521284104768</v>
      </c>
      <c r="AB11" s="38">
        <f>AA11*(1+'Model Inputs'!$B$10)</f>
        <v>124.39431709786864</v>
      </c>
      <c r="AC11" s="38">
        <f>AB11*(1+'Model Inputs'!$B$10)</f>
        <v>126.88220343982601</v>
      </c>
      <c r="AD11" s="38">
        <f>AC11*(1+'Model Inputs'!$B$10)</f>
        <v>129.41984750862252</v>
      </c>
      <c r="AE11" s="38">
        <f>AD11*(1+'Model Inputs'!$B$10)</f>
        <v>132.00824445879499</v>
      </c>
      <c r="AF11" s="38">
        <f>AE11*(1+'Model Inputs'!$B$10)</f>
        <v>134.6484093479709</v>
      </c>
      <c r="AG11" s="38">
        <f>AF11*(1+'Model Inputs'!$B$10)</f>
        <v>137.34137753493033</v>
      </c>
      <c r="AH11" s="38">
        <f>AG11*(1+'Model Inputs'!$B$10)</f>
        <v>140.08820508562894</v>
      </c>
      <c r="AI11" s="38">
        <f>AH11*(1+'Model Inputs'!$B$10)</f>
        <v>142.88996918734153</v>
      </c>
      <c r="AJ11" s="38">
        <f>AI11*(1+'Model Inputs'!$B$10)</f>
        <v>145.74776857108836</v>
      </c>
      <c r="AK11" s="38">
        <f>AJ11*(1+'Model Inputs'!$B$10)</f>
        <v>148.66272394251013</v>
      </c>
      <c r="AL11" s="38">
        <f>AK11*(1+'Model Inputs'!$B$10)</f>
        <v>151.63597842136033</v>
      </c>
      <c r="AM11" s="38">
        <f>AL11*(1+'Model Inputs'!$B$10)</f>
        <v>154.66869798978755</v>
      </c>
      <c r="AN11" s="38">
        <f>AM11*(1+'Model Inputs'!$B$10)</f>
        <v>157.76207194958329</v>
      </c>
      <c r="AO11" s="38">
        <f>AN11*(1+'Model Inputs'!$B$10)</f>
        <v>160.91731338857497</v>
      </c>
      <c r="AP11" s="38">
        <f>AO11*(1+'Model Inputs'!$B$10)</f>
        <v>164.13565965634646</v>
      </c>
      <c r="AQ11" s="38">
        <f>AP11*(1+'Model Inputs'!$B$10)</f>
        <v>167.4183728494734</v>
      </c>
      <c r="AR11" s="38">
        <f>AQ11*(1+'Model Inputs'!$B$10)</f>
        <v>170.76674030646288</v>
      </c>
      <c r="AS11" s="38">
        <f>AR11*(1+'Model Inputs'!$B$10)</f>
        <v>174.18207511259214</v>
      </c>
      <c r="AT11" s="38">
        <f>AS11*(1+'Model Inputs'!$B$10)</f>
        <v>177.665716614844</v>
      </c>
      <c r="AU11" s="38">
        <f>AT11*(1+'Model Inputs'!$B$10)</f>
        <v>181.21903094714088</v>
      </c>
      <c r="AV11" s="38">
        <f>AU11*(1+'Model Inputs'!$B$10)</f>
        <v>184.84341156608369</v>
      </c>
      <c r="AW11" s="38">
        <f>AV11*(1+'Model Inputs'!$B$10)</f>
        <v>188.54027979740536</v>
      </c>
      <c r="AX11" s="38">
        <f>AW11*(1+'Model Inputs'!$B$10)</f>
        <v>192.31108539335347</v>
      </c>
      <c r="AY11" s="38">
        <f>AX11*(1+'Model Inputs'!$B$10)</f>
        <v>196.15730710122054</v>
      </c>
      <c r="AZ11" s="38">
        <f>AY11*(1+'Model Inputs'!$B$10)</f>
        <v>200.08045324324496</v>
      </c>
      <c r="BA11" s="38">
        <f>AZ11*(1+'Model Inputs'!$B$10)</f>
        <v>204.08206230810987</v>
      </c>
      <c r="BB11" s="38">
        <f>BA11*(1+'Model Inputs'!$B$10)</f>
        <v>208.16370355427208</v>
      </c>
      <c r="BC11" s="38">
        <f>BB11*(1+'Model Inputs'!$B$10)</f>
        <v>212.32697762535753</v>
      </c>
      <c r="BD11" s="38">
        <f>BC11*(1+'Model Inputs'!$B$10)</f>
        <v>216.57351717786469</v>
      </c>
      <c r="BE11" s="38">
        <f>BD11*(1+'Model Inputs'!$B$10)</f>
        <v>220.90498752142199</v>
      </c>
      <c r="BF11" s="38">
        <f>BE11*(1+'Model Inputs'!$B$10)</f>
        <v>225.32308727185043</v>
      </c>
      <c r="BG11" s="38">
        <f>BF11*(1+'Model Inputs'!$B$10)</f>
        <v>229.82954901728743</v>
      </c>
      <c r="BH11" s="38">
        <f>BG11*(1+'Model Inputs'!$B$10)</f>
        <v>234.42613999763319</v>
      </c>
      <c r="BI11" s="38">
        <f>BH11*(1+'Model Inputs'!$B$10)</f>
        <v>239.11466279758585</v>
      </c>
      <c r="BJ11" s="38">
        <f>BI11*(1+'Model Inputs'!$B$10)</f>
        <v>243.89695605353756</v>
      </c>
      <c r="BK11" s="38">
        <f>BJ11*(1+'Model Inputs'!$B$10)</f>
        <v>248.77489517460833</v>
      </c>
      <c r="BL11" s="38">
        <f>BK11*(1+'Model Inputs'!$B$10)</f>
        <v>253.7503930781005</v>
      </c>
      <c r="BM11" s="38">
        <f>BL11*(1+'Model Inputs'!$B$10)</f>
        <v>258.82540093966253</v>
      </c>
      <c r="BN11" s="38">
        <f>BM11*(1+'Model Inputs'!$B$10)</f>
        <v>264.00190895845577</v>
      </c>
      <c r="BO11" s="38">
        <f>BN11*(1+'Model Inputs'!$B$10)</f>
        <v>269.28194713762491</v>
      </c>
    </row>
    <row r="12" spans="1:67" ht="15" customHeight="1" x14ac:dyDescent="0.2">
      <c r="A12" s="14" t="s">
        <v>184</v>
      </c>
      <c r="B12" s="22"/>
      <c r="C12" s="38">
        <f>'Model Inputs'!B44</f>
        <v>96.85</v>
      </c>
      <c r="D12" s="38">
        <f>'Model Inputs'!C44*'Sensitivities 2P'!$B$5</f>
        <v>95</v>
      </c>
      <c r="E12" s="38">
        <f>'Model Inputs'!D44*'Sensitivities 2P'!$B$5*('Sensitivities 2P'!$B$12*'Model Inputs'!D42)</f>
        <v>94.81528108449443</v>
      </c>
      <c r="F12" s="38">
        <f>'Model Inputs'!E44*'Sensitivities 2P'!$B$5*('Sensitivities 2P'!$B$12*'Model Inputs'!E42)</f>
        <v>93.740097300671934</v>
      </c>
      <c r="G12" s="38">
        <f>'Model Inputs'!F44*'Sensitivities 2P'!$B$5*('Sensitivities 2P'!$B$12*'Model Inputs'!F42)</f>
        <v>95.621668922361295</v>
      </c>
      <c r="H12" s="38">
        <f>G12*(1+'Model Inputs'!$B$10)</f>
        <v>97.534102300808527</v>
      </c>
      <c r="I12" s="38">
        <f>H12*(1+'Model Inputs'!$B$10)</f>
        <v>99.484784346824696</v>
      </c>
      <c r="J12" s="38">
        <f>I12*(1+'Model Inputs'!$B$10)</f>
        <v>101.4744800337612</v>
      </c>
      <c r="K12" s="38">
        <f>J12*(1+'Model Inputs'!$B$10)</f>
        <v>103.50396963443642</v>
      </c>
      <c r="L12" s="38">
        <f>K12*(1+'Model Inputs'!$B$10)</f>
        <v>105.57404902712514</v>
      </c>
      <c r="M12" s="38">
        <f>L12*(1+'Model Inputs'!$B$10)</f>
        <v>107.68553000766765</v>
      </c>
      <c r="N12" s="38">
        <f>M12*(1+'Model Inputs'!$B$10)</f>
        <v>109.83924060782101</v>
      </c>
      <c r="O12" s="38">
        <f>N12*(1+'Model Inputs'!$B$10)</f>
        <v>112.03602541997743</v>
      </c>
      <c r="P12" s="38">
        <f>O12*(1+'Model Inputs'!$B$10)</f>
        <v>114.27674592837698</v>
      </c>
      <c r="Q12" s="38">
        <f>P12*(1+'Model Inputs'!$B$10)</f>
        <v>116.56228084694452</v>
      </c>
      <c r="R12" s="38">
        <f>Q12*(1+'Model Inputs'!$B$10)</f>
        <v>118.8935264638834</v>
      </c>
      <c r="S12" s="38">
        <f>R12*(1+'Model Inputs'!$B$10)</f>
        <v>121.27139699316108</v>
      </c>
      <c r="T12" s="38">
        <f>S12*(1+'Model Inputs'!$B$10)</f>
        <v>123.6968249330243</v>
      </c>
      <c r="U12" s="38">
        <f>T12*(1+'Model Inputs'!$B$10)</f>
        <v>126.1707614316848</v>
      </c>
      <c r="V12" s="38">
        <f>U12*(1+'Model Inputs'!$B$10)</f>
        <v>128.6941766603185</v>
      </c>
      <c r="W12" s="38">
        <f>V12*(1+'Model Inputs'!$B$10)</f>
        <v>131.26806019352489</v>
      </c>
      <c r="X12" s="38">
        <f>W12*(1+'Model Inputs'!$B$10)</f>
        <v>133.8934213973954</v>
      </c>
      <c r="Y12" s="38">
        <f>X12*(1+'Model Inputs'!$B$10)</f>
        <v>136.57128982534331</v>
      </c>
      <c r="Z12" s="38">
        <f>Y12*(1+'Model Inputs'!$B$10)</f>
        <v>139.30271562185018</v>
      </c>
      <c r="AA12" s="38">
        <f>Z12*(1+'Model Inputs'!$B$10)</f>
        <v>142.0887699342872</v>
      </c>
      <c r="AB12" s="38">
        <f>AA12*(1+'Model Inputs'!$B$10)</f>
        <v>144.93054533297294</v>
      </c>
      <c r="AC12" s="38">
        <f>AB12*(1+'Model Inputs'!$B$10)</f>
        <v>147.8291562396324</v>
      </c>
      <c r="AD12" s="38">
        <f>AC12*(1+'Model Inputs'!$B$10)</f>
        <v>150.78573936442504</v>
      </c>
      <c r="AE12" s="38">
        <f>AD12*(1+'Model Inputs'!$B$10)</f>
        <v>153.80145415171356</v>
      </c>
      <c r="AF12" s="38">
        <f>AE12*(1+'Model Inputs'!$B$10)</f>
        <v>156.87748323474784</v>
      </c>
      <c r="AG12" s="38">
        <f>AF12*(1+'Model Inputs'!$B$10)</f>
        <v>160.01503289944282</v>
      </c>
      <c r="AH12" s="38">
        <f>AG12*(1+'Model Inputs'!$B$10)</f>
        <v>163.21533355743168</v>
      </c>
      <c r="AI12" s="38">
        <f>AH12*(1+'Model Inputs'!$B$10)</f>
        <v>166.47964022858031</v>
      </c>
      <c r="AJ12" s="38">
        <f>AI12*(1+'Model Inputs'!$B$10)</f>
        <v>169.80923303315191</v>
      </c>
      <c r="AK12" s="38">
        <f>AJ12*(1+'Model Inputs'!$B$10)</f>
        <v>173.20541769381495</v>
      </c>
      <c r="AL12" s="38">
        <f>AK12*(1+'Model Inputs'!$B$10)</f>
        <v>176.66952604769125</v>
      </c>
      <c r="AM12" s="38">
        <f>AL12*(1+'Model Inputs'!$B$10)</f>
        <v>180.20291656864507</v>
      </c>
      <c r="AN12" s="38">
        <f>AM12*(1+'Model Inputs'!$B$10)</f>
        <v>183.80697490001796</v>
      </c>
      <c r="AO12" s="38">
        <f>AN12*(1+'Model Inputs'!$B$10)</f>
        <v>187.48311439801833</v>
      </c>
      <c r="AP12" s="38">
        <f>AO12*(1+'Model Inputs'!$B$10)</f>
        <v>191.23277668597871</v>
      </c>
      <c r="AQ12" s="38">
        <f>AP12*(1+'Model Inputs'!$B$10)</f>
        <v>195.05743221969828</v>
      </c>
      <c r="AR12" s="38">
        <f>AQ12*(1+'Model Inputs'!$B$10)</f>
        <v>198.95858086409226</v>
      </c>
      <c r="AS12" s="38">
        <f>AR12*(1+'Model Inputs'!$B$10)</f>
        <v>202.9377524813741</v>
      </c>
      <c r="AT12" s="38">
        <f>AS12*(1+'Model Inputs'!$B$10)</f>
        <v>206.99650753100158</v>
      </c>
      <c r="AU12" s="38">
        <f>AT12*(1+'Model Inputs'!$B$10)</f>
        <v>211.13643768162163</v>
      </c>
      <c r="AV12" s="38">
        <f>AU12*(1+'Model Inputs'!$B$10)</f>
        <v>215.35916643525405</v>
      </c>
      <c r="AW12" s="38">
        <f>AV12*(1+'Model Inputs'!$B$10)</f>
        <v>219.66634976395915</v>
      </c>
      <c r="AX12" s="38">
        <f>AW12*(1+'Model Inputs'!$B$10)</f>
        <v>224.05967675923833</v>
      </c>
      <c r="AY12" s="38">
        <f>AX12*(1+'Model Inputs'!$B$10)</f>
        <v>228.54087029442309</v>
      </c>
      <c r="AZ12" s="38">
        <f>AY12*(1+'Model Inputs'!$B$10)</f>
        <v>233.11168770031156</v>
      </c>
      <c r="BA12" s="38">
        <f>AZ12*(1+'Model Inputs'!$B$10)</f>
        <v>237.77392145431779</v>
      </c>
      <c r="BB12" s="38">
        <f>BA12*(1+'Model Inputs'!$B$10)</f>
        <v>242.52939988340415</v>
      </c>
      <c r="BC12" s="38">
        <f>BB12*(1+'Model Inputs'!$B$10)</f>
        <v>247.37998788107225</v>
      </c>
      <c r="BD12" s="38">
        <f>BC12*(1+'Model Inputs'!$B$10)</f>
        <v>252.3275876386937</v>
      </c>
      <c r="BE12" s="38">
        <f>BD12*(1+'Model Inputs'!$B$10)</f>
        <v>257.37413939146757</v>
      </c>
      <c r="BF12" s="38">
        <f>BE12*(1+'Model Inputs'!$B$10)</f>
        <v>262.52162217929691</v>
      </c>
      <c r="BG12" s="38">
        <f>BF12*(1+'Model Inputs'!$B$10)</f>
        <v>267.77205462288288</v>
      </c>
      <c r="BH12" s="38">
        <f>BG12*(1+'Model Inputs'!$B$10)</f>
        <v>273.12749571534056</v>
      </c>
      <c r="BI12" s="38">
        <f>BH12*(1+'Model Inputs'!$B$10)</f>
        <v>278.59004562964736</v>
      </c>
      <c r="BJ12" s="38">
        <f>BI12*(1+'Model Inputs'!$B$10)</f>
        <v>284.16184654224031</v>
      </c>
      <c r="BK12" s="38">
        <f>BJ12*(1+'Model Inputs'!$B$10)</f>
        <v>289.84508347308514</v>
      </c>
      <c r="BL12" s="38">
        <f>BK12*(1+'Model Inputs'!$B$10)</f>
        <v>295.64198514254684</v>
      </c>
      <c r="BM12" s="38">
        <f>BL12*(1+'Model Inputs'!$B$10)</f>
        <v>301.55482484539777</v>
      </c>
      <c r="BN12" s="38">
        <f>BM12*(1+'Model Inputs'!$B$10)</f>
        <v>307.58592134230571</v>
      </c>
      <c r="BO12" s="38">
        <f>BN12*(1+'Model Inputs'!$B$10)</f>
        <v>313.73763976915183</v>
      </c>
    </row>
    <row r="13" spans="1:67" ht="15" customHeight="1" x14ac:dyDescent="0.2">
      <c r="A13" s="14" t="s">
        <v>185</v>
      </c>
      <c r="B13" s="22"/>
      <c r="C13" s="38">
        <f>'Model Inputs'!B45</f>
        <v>95.07</v>
      </c>
      <c r="D13" s="38">
        <f>'Model Inputs'!C45*'Sensitivities 2P'!$B$5</f>
        <v>94.47</v>
      </c>
      <c r="E13" s="38">
        <f>'Model Inputs'!D45*'Sensitivities 2P'!$B$5*('Sensitivities 2P'!$B$12*'Model Inputs'!D42)</f>
        <v>94.297600003394706</v>
      </c>
      <c r="F13" s="38">
        <f>'Model Inputs'!E45*'Sensitivities 2P'!$B$5*('Sensitivities 2P'!$B$12*'Model Inputs'!E42)</f>
        <v>93.25228243578951</v>
      </c>
      <c r="G13" s="38">
        <f>'Model Inputs'!F45*'Sensitivities 2P'!$B$5*('Sensitivities 2P'!$B$12*'Model Inputs'!F42)</f>
        <v>95.183631084507695</v>
      </c>
      <c r="H13" s="38">
        <f>G13*(1+'Model Inputs'!$B$10)</f>
        <v>97.087303706197844</v>
      </c>
      <c r="I13" s="38">
        <f>H13*(1+'Model Inputs'!$B$10)</f>
        <v>99.029049780321799</v>
      </c>
      <c r="J13" s="38">
        <f>I13*(1+'Model Inputs'!$B$10)</f>
        <v>101.00963077592823</v>
      </c>
      <c r="K13" s="38">
        <f>J13*(1+'Model Inputs'!$B$10)</f>
        <v>103.0298233914468</v>
      </c>
      <c r="L13" s="38">
        <f>K13*(1+'Model Inputs'!$B$10)</f>
        <v>105.09041985927574</v>
      </c>
      <c r="M13" s="38">
        <f>L13*(1+'Model Inputs'!$B$10)</f>
        <v>107.19222825646126</v>
      </c>
      <c r="N13" s="38">
        <f>M13*(1+'Model Inputs'!$B$10)</f>
        <v>109.33607282159049</v>
      </c>
      <c r="O13" s="38">
        <f>N13*(1+'Model Inputs'!$B$10)</f>
        <v>111.5227942780223</v>
      </c>
      <c r="P13" s="38">
        <f>O13*(1+'Model Inputs'!$B$10)</f>
        <v>113.75325016358275</v>
      </c>
      <c r="Q13" s="38">
        <f>P13*(1+'Model Inputs'!$B$10)</f>
        <v>116.02831516685441</v>
      </c>
      <c r="R13" s="38">
        <f>Q13*(1+'Model Inputs'!$B$10)</f>
        <v>118.3488814701915</v>
      </c>
      <c r="S13" s="38">
        <f>R13*(1+'Model Inputs'!$B$10)</f>
        <v>120.71585909959533</v>
      </c>
      <c r="T13" s="38">
        <f>S13*(1+'Model Inputs'!$B$10)</f>
        <v>123.13017628158724</v>
      </c>
      <c r="U13" s="38">
        <f>T13*(1+'Model Inputs'!$B$10)</f>
        <v>125.59277980721899</v>
      </c>
      <c r="V13" s="38">
        <f>U13*(1+'Model Inputs'!$B$10)</f>
        <v>128.10463540336337</v>
      </c>
      <c r="W13" s="38">
        <f>V13*(1+'Model Inputs'!$B$10)</f>
        <v>130.66672811143064</v>
      </c>
      <c r="X13" s="38">
        <f>W13*(1+'Model Inputs'!$B$10)</f>
        <v>133.28006267365924</v>
      </c>
      <c r="Y13" s="38">
        <f>X13*(1+'Model Inputs'!$B$10)</f>
        <v>135.94566392713244</v>
      </c>
      <c r="Z13" s="38">
        <f>Y13*(1+'Model Inputs'!$B$10)</f>
        <v>138.6645772056751</v>
      </c>
      <c r="AA13" s="38">
        <f>Z13*(1+'Model Inputs'!$B$10)</f>
        <v>141.43786874978861</v>
      </c>
      <c r="AB13" s="38">
        <f>AA13*(1+'Model Inputs'!$B$10)</f>
        <v>144.26662612478438</v>
      </c>
      <c r="AC13" s="38">
        <f>AB13*(1+'Model Inputs'!$B$10)</f>
        <v>147.15195864728008</v>
      </c>
      <c r="AD13" s="38">
        <f>AC13*(1+'Model Inputs'!$B$10)</f>
        <v>150.0949978202257</v>
      </c>
      <c r="AE13" s="38">
        <f>AD13*(1+'Model Inputs'!$B$10)</f>
        <v>153.09689777663021</v>
      </c>
      <c r="AF13" s="38">
        <f>AE13*(1+'Model Inputs'!$B$10)</f>
        <v>156.15883573216283</v>
      </c>
      <c r="AG13" s="38">
        <f>AF13*(1+'Model Inputs'!$B$10)</f>
        <v>159.28201244680608</v>
      </c>
      <c r="AH13" s="38">
        <f>AG13*(1+'Model Inputs'!$B$10)</f>
        <v>162.4676526957422</v>
      </c>
      <c r="AI13" s="38">
        <f>AH13*(1+'Model Inputs'!$B$10)</f>
        <v>165.71700574965706</v>
      </c>
      <c r="AJ13" s="38">
        <f>AI13*(1+'Model Inputs'!$B$10)</f>
        <v>169.03134586465021</v>
      </c>
      <c r="AK13" s="38">
        <f>AJ13*(1+'Model Inputs'!$B$10)</f>
        <v>172.41197278194321</v>
      </c>
      <c r="AL13" s="38">
        <f>AK13*(1+'Model Inputs'!$B$10)</f>
        <v>175.86021223758206</v>
      </c>
      <c r="AM13" s="38">
        <f>AL13*(1+'Model Inputs'!$B$10)</f>
        <v>179.3774164823337</v>
      </c>
      <c r="AN13" s="38">
        <f>AM13*(1+'Model Inputs'!$B$10)</f>
        <v>182.96496481198037</v>
      </c>
      <c r="AO13" s="38">
        <f>AN13*(1+'Model Inputs'!$B$10)</f>
        <v>186.62426410821999</v>
      </c>
      <c r="AP13" s="38">
        <f>AO13*(1+'Model Inputs'!$B$10)</f>
        <v>190.35674939038438</v>
      </c>
      <c r="AQ13" s="38">
        <f>AP13*(1+'Model Inputs'!$B$10)</f>
        <v>194.16388437819208</v>
      </c>
      <c r="AR13" s="38">
        <f>AQ13*(1+'Model Inputs'!$B$10)</f>
        <v>198.04716206575591</v>
      </c>
      <c r="AS13" s="38">
        <f>AR13*(1+'Model Inputs'!$B$10)</f>
        <v>202.00810530707105</v>
      </c>
      <c r="AT13" s="38">
        <f>AS13*(1+'Model Inputs'!$B$10)</f>
        <v>206.04826741321247</v>
      </c>
      <c r="AU13" s="38">
        <f>AT13*(1+'Model Inputs'!$B$10)</f>
        <v>210.16923276147674</v>
      </c>
      <c r="AV13" s="38">
        <f>AU13*(1+'Model Inputs'!$B$10)</f>
        <v>214.37261741670628</v>
      </c>
      <c r="AW13" s="38">
        <f>AV13*(1+'Model Inputs'!$B$10)</f>
        <v>218.66006976504042</v>
      </c>
      <c r="AX13" s="38">
        <f>AW13*(1+'Model Inputs'!$B$10)</f>
        <v>223.03327116034123</v>
      </c>
      <c r="AY13" s="38">
        <f>AX13*(1+'Model Inputs'!$B$10)</f>
        <v>227.49393658354805</v>
      </c>
      <c r="AZ13" s="38">
        <f>AY13*(1+'Model Inputs'!$B$10)</f>
        <v>232.04381531521901</v>
      </c>
      <c r="BA13" s="38">
        <f>AZ13*(1+'Model Inputs'!$B$10)</f>
        <v>236.6846916215234</v>
      </c>
      <c r="BB13" s="38">
        <f>BA13*(1+'Model Inputs'!$B$10)</f>
        <v>241.41838545395387</v>
      </c>
      <c r="BC13" s="38">
        <f>BB13*(1+'Model Inputs'!$B$10)</f>
        <v>246.24675316303296</v>
      </c>
      <c r="BD13" s="38">
        <f>BC13*(1+'Model Inputs'!$B$10)</f>
        <v>251.17168822629364</v>
      </c>
      <c r="BE13" s="38">
        <f>BD13*(1+'Model Inputs'!$B$10)</f>
        <v>256.19512199081953</v>
      </c>
      <c r="BF13" s="38">
        <f>BE13*(1+'Model Inputs'!$B$10)</f>
        <v>261.31902443063592</v>
      </c>
      <c r="BG13" s="38">
        <f>BF13*(1+'Model Inputs'!$B$10)</f>
        <v>266.54540491924865</v>
      </c>
      <c r="BH13" s="38">
        <f>BG13*(1+'Model Inputs'!$B$10)</f>
        <v>271.87631301763361</v>
      </c>
      <c r="BI13" s="38">
        <f>BH13*(1+'Model Inputs'!$B$10)</f>
        <v>277.31383927798629</v>
      </c>
      <c r="BJ13" s="38">
        <f>BI13*(1+'Model Inputs'!$B$10)</f>
        <v>282.860116063546</v>
      </c>
      <c r="BK13" s="38">
        <f>BJ13*(1+'Model Inputs'!$B$10)</f>
        <v>288.51731838481692</v>
      </c>
      <c r="BL13" s="38">
        <f>BK13*(1+'Model Inputs'!$B$10)</f>
        <v>294.28766475251325</v>
      </c>
      <c r="BM13" s="38">
        <f>BL13*(1+'Model Inputs'!$B$10)</f>
        <v>300.17341804756353</v>
      </c>
      <c r="BN13" s="38">
        <f>BM13*(1+'Model Inputs'!$B$10)</f>
        <v>306.1768864085148</v>
      </c>
      <c r="BO13" s="38">
        <f>BN13*(1+'Model Inputs'!$B$10)</f>
        <v>312.30042413668508</v>
      </c>
    </row>
    <row r="14" spans="1:67" ht="15" customHeight="1" x14ac:dyDescent="0.2">
      <c r="A14" s="14" t="s">
        <v>186</v>
      </c>
      <c r="B14" s="22"/>
      <c r="C14" s="38">
        <f>'Model Inputs'!B46</f>
        <v>2.16</v>
      </c>
      <c r="D14" s="38">
        <f>'Model Inputs'!C46*'Sensitivities 2P'!$B$18</f>
        <v>2.75</v>
      </c>
      <c r="E14" s="38">
        <f>'Model Inputs'!D46*'Sensitivities 2P'!$B$18</f>
        <v>3.12</v>
      </c>
      <c r="F14" s="38">
        <f>'Model Inputs'!E46*'Sensitivities 2P'!$B$18</f>
        <v>3.43</v>
      </c>
      <c r="G14" s="38">
        <f>'Model Inputs'!F46*'Sensitivities 2P'!$B$18</f>
        <v>3.5</v>
      </c>
      <c r="H14" s="38">
        <f>G14*(1+'Model Inputs'!$B$10)</f>
        <v>3.5700000000000003</v>
      </c>
      <c r="I14" s="38">
        <f>H14*(1+'Model Inputs'!$B$10)</f>
        <v>3.6414000000000004</v>
      </c>
      <c r="J14" s="38">
        <f>I14*(1+'Model Inputs'!$B$10)</f>
        <v>3.7142280000000003</v>
      </c>
      <c r="K14" s="38">
        <f>J14*(1+'Model Inputs'!$B$10)</f>
        <v>3.7885125600000005</v>
      </c>
      <c r="L14" s="38">
        <f>K14*(1+'Model Inputs'!$B$10)</f>
        <v>3.8642828112000007</v>
      </c>
      <c r="M14" s="38">
        <f>L14*(1+'Model Inputs'!$B$10)</f>
        <v>3.941568467424001</v>
      </c>
      <c r="N14" s="38">
        <f>M14*(1+'Model Inputs'!$B$10)</f>
        <v>4.0203998367724809</v>
      </c>
      <c r="O14" s="38">
        <f>N14*(1+'Model Inputs'!$B$10)</f>
        <v>4.1008078335079308</v>
      </c>
      <c r="P14" s="38">
        <f>O14*(1+'Model Inputs'!$B$10)</f>
        <v>4.1828239901780897</v>
      </c>
      <c r="Q14" s="38">
        <f>P14*(1+'Model Inputs'!$B$10)</f>
        <v>4.2664804699816514</v>
      </c>
      <c r="R14" s="38">
        <f>Q14*(1+'Model Inputs'!$B$10)</f>
        <v>4.3518100793812842</v>
      </c>
      <c r="S14" s="38">
        <f>R14*(1+'Model Inputs'!$B$10)</f>
        <v>4.4388462809689102</v>
      </c>
      <c r="T14" s="38">
        <f>S14*(1+'Model Inputs'!$B$10)</f>
        <v>4.5276232065882889</v>
      </c>
      <c r="U14" s="38">
        <f>T14*(1+'Model Inputs'!$B$10)</f>
        <v>4.6181756707200545</v>
      </c>
      <c r="V14" s="38">
        <f>U14*(1+'Model Inputs'!$B$10)</f>
        <v>4.7105391841344559</v>
      </c>
      <c r="W14" s="38">
        <f>V14*(1+'Model Inputs'!$B$10)</f>
        <v>4.8047499678171448</v>
      </c>
      <c r="X14" s="38">
        <f>W14*(1+'Model Inputs'!$B$10)</f>
        <v>4.9008449671734882</v>
      </c>
      <c r="Y14" s="38">
        <f>X14*(1+'Model Inputs'!$B$10)</f>
        <v>4.9988618665169584</v>
      </c>
      <c r="Z14" s="38">
        <f>Y14*(1+'Model Inputs'!$B$10)</f>
        <v>5.0988391038472978</v>
      </c>
      <c r="AA14" s="38">
        <f>Z14*(1+'Model Inputs'!$B$10)</f>
        <v>5.2008158859242437</v>
      </c>
      <c r="AB14" s="38">
        <f>AA14*(1+'Model Inputs'!$B$10)</f>
        <v>5.3048322036427287</v>
      </c>
      <c r="AC14" s="38">
        <f>AB14*(1+'Model Inputs'!$B$10)</f>
        <v>5.4109288477155832</v>
      </c>
      <c r="AD14" s="38">
        <f>AC14*(1+'Model Inputs'!$B$10)</f>
        <v>5.5191474246698951</v>
      </c>
      <c r="AE14" s="38">
        <f>AD14*(1+'Model Inputs'!$B$10)</f>
        <v>5.6295303731632931</v>
      </c>
      <c r="AF14" s="38">
        <f>AE14*(1+'Model Inputs'!$B$10)</f>
        <v>5.7421209806265594</v>
      </c>
      <c r="AG14" s="38">
        <f>AF14*(1+'Model Inputs'!$B$10)</f>
        <v>5.8569634002390911</v>
      </c>
      <c r="AH14" s="38">
        <f>AG14*(1+'Model Inputs'!$B$10)</f>
        <v>5.9741026682438729</v>
      </c>
      <c r="AI14" s="38">
        <f>AH14*(1+'Model Inputs'!$B$10)</f>
        <v>6.0935847216087504</v>
      </c>
      <c r="AJ14" s="38">
        <f>AI14*(1+'Model Inputs'!$B$10)</f>
        <v>6.2154564160409258</v>
      </c>
      <c r="AK14" s="38">
        <f>AJ14*(1+'Model Inputs'!$B$10)</f>
        <v>6.339765544361744</v>
      </c>
      <c r="AL14" s="38">
        <f>AK14*(1+'Model Inputs'!$B$10)</f>
        <v>6.4665608552489786</v>
      </c>
      <c r="AM14" s="38">
        <f>AL14*(1+'Model Inputs'!$B$10)</f>
        <v>6.5958920723539585</v>
      </c>
      <c r="AN14" s="38">
        <f>AM14*(1+'Model Inputs'!$B$10)</f>
        <v>6.7278099138010381</v>
      </c>
      <c r="AO14" s="38">
        <f>AN14*(1+'Model Inputs'!$B$10)</f>
        <v>6.8623661120770594</v>
      </c>
      <c r="AP14" s="38">
        <f>AO14*(1+'Model Inputs'!$B$10)</f>
        <v>6.9996134343186007</v>
      </c>
      <c r="AQ14" s="38">
        <f>AP14*(1+'Model Inputs'!$B$10)</f>
        <v>7.1396057030049729</v>
      </c>
      <c r="AR14" s="38">
        <f>AQ14*(1+'Model Inputs'!$B$10)</f>
        <v>7.2823978170650721</v>
      </c>
      <c r="AS14" s="38">
        <f>AR14*(1+'Model Inputs'!$B$10)</f>
        <v>7.4280457734063736</v>
      </c>
      <c r="AT14" s="38">
        <f>AS14*(1+'Model Inputs'!$B$10)</f>
        <v>7.5766066888745014</v>
      </c>
      <c r="AU14" s="38">
        <f>AT14*(1+'Model Inputs'!$B$10)</f>
        <v>7.7281388226519914</v>
      </c>
      <c r="AV14" s="38">
        <f>AU14*(1+'Model Inputs'!$B$10)</f>
        <v>7.8827015991050313</v>
      </c>
      <c r="AW14" s="38">
        <f>AV14*(1+'Model Inputs'!$B$10)</f>
        <v>8.0403556310871327</v>
      </c>
      <c r="AX14" s="38">
        <f>AW14*(1+'Model Inputs'!$B$10)</f>
        <v>8.2011627437088759</v>
      </c>
      <c r="AY14" s="38">
        <f>AX14*(1+'Model Inputs'!$B$10)</f>
        <v>8.365185998583053</v>
      </c>
      <c r="AZ14" s="38">
        <f>AY14*(1+'Model Inputs'!$B$10)</f>
        <v>8.5324897185547144</v>
      </c>
      <c r="BA14" s="38">
        <f>AZ14*(1+'Model Inputs'!$B$10)</f>
        <v>8.7031395129258087</v>
      </c>
      <c r="BB14" s="38">
        <f>BA14*(1+'Model Inputs'!$B$10)</f>
        <v>8.8772023031843244</v>
      </c>
      <c r="BC14" s="38">
        <f>BB14*(1+'Model Inputs'!$B$10)</f>
        <v>9.0547463492480116</v>
      </c>
      <c r="BD14" s="38">
        <f>BC14*(1+'Model Inputs'!$B$10)</f>
        <v>9.2358412762329714</v>
      </c>
      <c r="BE14" s="38">
        <f>BD14*(1+'Model Inputs'!$B$10)</f>
        <v>9.4205581017576314</v>
      </c>
      <c r="BF14" s="38">
        <f>BE14*(1+'Model Inputs'!$B$10)</f>
        <v>9.608969263792785</v>
      </c>
      <c r="BG14" s="38">
        <f>BF14*(1+'Model Inputs'!$B$10)</f>
        <v>9.8011486490686401</v>
      </c>
      <c r="BH14" s="38">
        <f>BG14*(1+'Model Inputs'!$B$10)</f>
        <v>9.9971716220500131</v>
      </c>
      <c r="BI14" s="38">
        <f>BH14*(1+'Model Inputs'!$B$10)</f>
        <v>10.197115054491013</v>
      </c>
      <c r="BJ14" s="38">
        <f>BI14*(1+'Model Inputs'!$B$10)</f>
        <v>10.401057355580834</v>
      </c>
      <c r="BK14" s="38">
        <f>BJ14*(1+'Model Inputs'!$B$10)</f>
        <v>10.609078502692451</v>
      </c>
      <c r="BL14" s="38">
        <f>BK14*(1+'Model Inputs'!$B$10)</f>
        <v>10.8212600727463</v>
      </c>
      <c r="BM14" s="38">
        <f>BL14*(1+'Model Inputs'!$B$10)</f>
        <v>11.037685274201227</v>
      </c>
      <c r="BN14" s="38">
        <f>BM14*(1+'Model Inputs'!$B$10)</f>
        <v>11.258438979685252</v>
      </c>
      <c r="BO14" s="38">
        <f>BN14*(1+'Model Inputs'!$B$10)</f>
        <v>11.483607759278957</v>
      </c>
    </row>
    <row r="16" spans="1:67" ht="15" customHeight="1" x14ac:dyDescent="0.2">
      <c r="A16" s="29" t="s">
        <v>187</v>
      </c>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row>
    <row r="17" spans="1:67" ht="15" customHeight="1" x14ac:dyDescent="0.2">
      <c r="A17" s="14" t="s">
        <v>188</v>
      </c>
      <c r="B17" s="22"/>
      <c r="C17" s="38">
        <f>C12+'Model Inputs'!$F$61</f>
        <v>89.332427400586027</v>
      </c>
      <c r="D17" s="38">
        <f>D12+'Model Inputs'!$F$61</f>
        <v>87.482427400586033</v>
      </c>
      <c r="E17" s="38">
        <f>E12+'Model Inputs'!$F$61</f>
        <v>87.297708485080463</v>
      </c>
      <c r="F17" s="38">
        <f>F12+'Model Inputs'!$F$61</f>
        <v>86.222524701257967</v>
      </c>
      <c r="G17" s="38">
        <f>G12+'Model Inputs'!$F$61</f>
        <v>88.104096322947328</v>
      </c>
      <c r="H17" s="38">
        <f>H12+'Model Inputs'!$F$61</f>
        <v>90.01652970139456</v>
      </c>
      <c r="I17" s="38">
        <f>I12+'Model Inputs'!$F$61</f>
        <v>91.96721174741073</v>
      </c>
      <c r="J17" s="38">
        <f>J12+'Model Inputs'!$F$61</f>
        <v>93.956907434347229</v>
      </c>
      <c r="K17" s="38">
        <f>K12+'Model Inputs'!$F$61</f>
        <v>95.986397035022449</v>
      </c>
      <c r="L17" s="38">
        <f>L12+'Model Inputs'!$F$61</f>
        <v>98.056476427711175</v>
      </c>
      <c r="M17" s="38">
        <f>M12+'Model Inputs'!$F$61</f>
        <v>100.16795740825368</v>
      </c>
      <c r="N17" s="38">
        <f>N12+'Model Inputs'!$F$61</f>
        <v>102.32166800840704</v>
      </c>
      <c r="O17" s="38">
        <f>O12+'Model Inputs'!$F$61</f>
        <v>104.51845282056347</v>
      </c>
      <c r="P17" s="38">
        <f>P12+'Model Inputs'!$F$61</f>
        <v>106.75917332896302</v>
      </c>
      <c r="Q17" s="38">
        <f>Q12+'Model Inputs'!$F$61</f>
        <v>109.04470824753055</v>
      </c>
      <c r="R17" s="38">
        <f>R12+'Model Inputs'!$F$61</f>
        <v>111.37595386446944</v>
      </c>
      <c r="S17" s="38">
        <f>S12+'Model Inputs'!$F$61</f>
        <v>113.75382439374711</v>
      </c>
      <c r="T17" s="38">
        <f>T12+'Model Inputs'!$F$61</f>
        <v>116.17925233361034</v>
      </c>
      <c r="U17" s="38">
        <f>U12+'Model Inputs'!$F$61</f>
        <v>118.65318883227083</v>
      </c>
      <c r="V17" s="38">
        <f>V12+'Model Inputs'!$F$61</f>
        <v>121.17660406090454</v>
      </c>
      <c r="W17" s="38">
        <f>W12+'Model Inputs'!$F$61</f>
        <v>123.75048759411092</v>
      </c>
      <c r="X17" s="38">
        <f>X12+'Model Inputs'!$F$61</f>
        <v>126.37584879798143</v>
      </c>
      <c r="Y17" s="38">
        <f>Y12+'Model Inputs'!$F$61</f>
        <v>129.05371722592935</v>
      </c>
      <c r="Z17" s="38">
        <f>Z12+'Model Inputs'!$F$61</f>
        <v>131.78514302243622</v>
      </c>
      <c r="AA17" s="38">
        <f>AA12+'Model Inputs'!$F$61</f>
        <v>134.57119733487323</v>
      </c>
      <c r="AB17" s="38">
        <f>AB12+'Model Inputs'!$F$61</f>
        <v>137.41297273355897</v>
      </c>
      <c r="AC17" s="38">
        <f>AC12+'Model Inputs'!$F$61</f>
        <v>140.31158364021843</v>
      </c>
      <c r="AD17" s="38">
        <f>AD12+'Model Inputs'!$F$61</f>
        <v>143.26816676501107</v>
      </c>
      <c r="AE17" s="38">
        <f>AE12+'Model Inputs'!$F$61</f>
        <v>146.28388155229959</v>
      </c>
      <c r="AF17" s="38">
        <f>AF12+'Model Inputs'!$F$61</f>
        <v>149.35991063533388</v>
      </c>
      <c r="AG17" s="38">
        <f>AG12+'Model Inputs'!$F$61</f>
        <v>152.49746030002885</v>
      </c>
      <c r="AH17" s="38">
        <f>AH12+'Model Inputs'!$F$61</f>
        <v>155.69776095801771</v>
      </c>
      <c r="AI17" s="38">
        <f>AI12+'Model Inputs'!$F$61</f>
        <v>158.96206762916634</v>
      </c>
      <c r="AJ17" s="38">
        <f>AJ12+'Model Inputs'!$F$61</f>
        <v>162.29166043373795</v>
      </c>
      <c r="AK17" s="38">
        <f>AK12+'Model Inputs'!$F$61</f>
        <v>165.68784509440098</v>
      </c>
      <c r="AL17" s="38">
        <f>AL12+'Model Inputs'!$F$61</f>
        <v>169.15195344827728</v>
      </c>
      <c r="AM17" s="38">
        <f>AM12+'Model Inputs'!$F$61</f>
        <v>172.6853439692311</v>
      </c>
      <c r="AN17" s="38">
        <f>AN12+'Model Inputs'!$F$61</f>
        <v>176.289402300604</v>
      </c>
      <c r="AO17" s="38">
        <f>AO12+'Model Inputs'!$F$61</f>
        <v>179.96554179860436</v>
      </c>
      <c r="AP17" s="38">
        <f>AP12+'Model Inputs'!$F$61</f>
        <v>183.71520408656474</v>
      </c>
      <c r="AQ17" s="38">
        <f>AQ12+'Model Inputs'!$F$61</f>
        <v>187.53985962028432</v>
      </c>
      <c r="AR17" s="38">
        <f>AR12+'Model Inputs'!$F$61</f>
        <v>191.44100826467829</v>
      </c>
      <c r="AS17" s="38">
        <f>AS12+'Model Inputs'!$F$61</f>
        <v>195.42017988196014</v>
      </c>
      <c r="AT17" s="38">
        <f>AT12+'Model Inputs'!$F$61</f>
        <v>199.47893493158762</v>
      </c>
      <c r="AU17" s="38">
        <f>AU12+'Model Inputs'!$F$61</f>
        <v>203.61886508220766</v>
      </c>
      <c r="AV17" s="38">
        <f>AV12+'Model Inputs'!$F$61</f>
        <v>207.84159383584009</v>
      </c>
      <c r="AW17" s="38">
        <f>AW12+'Model Inputs'!$F$61</f>
        <v>212.14877716454518</v>
      </c>
      <c r="AX17" s="38">
        <f>AX12+'Model Inputs'!$F$61</f>
        <v>216.54210415982436</v>
      </c>
      <c r="AY17" s="38">
        <f>AY12+'Model Inputs'!$F$61</f>
        <v>221.02329769500912</v>
      </c>
      <c r="AZ17" s="38">
        <f>AZ12+'Model Inputs'!$F$61</f>
        <v>225.5941151008976</v>
      </c>
      <c r="BA17" s="38">
        <f>BA12+'Model Inputs'!$F$61</f>
        <v>230.25634885490382</v>
      </c>
      <c r="BB17" s="38">
        <f>BB12+'Model Inputs'!$F$61</f>
        <v>235.01182728399019</v>
      </c>
      <c r="BC17" s="38">
        <f>BC12+'Model Inputs'!$F$61</f>
        <v>239.86241528165829</v>
      </c>
      <c r="BD17" s="38">
        <f>BD12+'Model Inputs'!$F$61</f>
        <v>244.81001503927973</v>
      </c>
      <c r="BE17" s="38">
        <f>BE12+'Model Inputs'!$F$61</f>
        <v>249.8565667920536</v>
      </c>
      <c r="BF17" s="38">
        <f>BF12+'Model Inputs'!$F$61</f>
        <v>255.00404957988295</v>
      </c>
      <c r="BG17" s="38">
        <f>BG12+'Model Inputs'!$F$61</f>
        <v>260.25448202346888</v>
      </c>
      <c r="BH17" s="38">
        <f>BH12+'Model Inputs'!$F$61</f>
        <v>265.60992311592656</v>
      </c>
      <c r="BI17" s="38">
        <f>BI12+'Model Inputs'!$F$61</f>
        <v>271.07247303023337</v>
      </c>
      <c r="BJ17" s="38">
        <f>BJ12+'Model Inputs'!$F$61</f>
        <v>276.64427394282632</v>
      </c>
      <c r="BK17" s="38">
        <f>BK12+'Model Inputs'!$F$61</f>
        <v>282.32751087367114</v>
      </c>
      <c r="BL17" s="38">
        <f>BL12+'Model Inputs'!$F$61</f>
        <v>288.12441254313285</v>
      </c>
      <c r="BM17" s="38">
        <f>BM12+'Model Inputs'!$F$61</f>
        <v>294.03725224598384</v>
      </c>
      <c r="BN17" s="38">
        <f>BN12+'Model Inputs'!$F$61</f>
        <v>300.06834874289177</v>
      </c>
      <c r="BO17" s="38">
        <f>BO12+'Model Inputs'!$F$61</f>
        <v>306.22006716973783</v>
      </c>
    </row>
    <row r="18" spans="1:67" ht="15" customHeight="1" x14ac:dyDescent="0.2">
      <c r="A18" s="14" t="s">
        <v>189</v>
      </c>
      <c r="B18" s="22"/>
      <c r="C18" s="38">
        <f>C11+'Model Inputs'!$F$62</f>
        <v>75.28934000000001</v>
      </c>
      <c r="D18" s="38">
        <f>D11+'Model Inputs'!$F$62</f>
        <v>74.729340000000008</v>
      </c>
      <c r="E18" s="38">
        <f>E11+'Model Inputs'!$F$62</f>
        <v>74.584957570496016</v>
      </c>
      <c r="F18" s="38">
        <f>F11+'Model Inputs'!$F$62</f>
        <v>73.698926489383041</v>
      </c>
      <c r="G18" s="38">
        <f>G11+'Model Inputs'!$F$62</f>
        <v>75.31170216511677</v>
      </c>
      <c r="H18" s="38">
        <f>H11+'Model Inputs'!$F$62</f>
        <v>76.953149408419108</v>
      </c>
      <c r="I18" s="38">
        <f>I11+'Model Inputs'!$F$62</f>
        <v>78.627425596587486</v>
      </c>
      <c r="J18" s="38">
        <f>J11+'Model Inputs'!$F$62</f>
        <v>80.335187308519238</v>
      </c>
      <c r="K18" s="38">
        <f>K11+'Model Inputs'!$F$62</f>
        <v>82.07710425468963</v>
      </c>
      <c r="L18" s="38">
        <f>L11+'Model Inputs'!$F$62</f>
        <v>83.853859539783429</v>
      </c>
      <c r="M18" s="38">
        <f>M11+'Model Inputs'!$F$62</f>
        <v>85.666149930579095</v>
      </c>
      <c r="N18" s="38">
        <f>N11+'Model Inputs'!$F$62</f>
        <v>87.514686129190679</v>
      </c>
      <c r="O18" s="38">
        <f>O11+'Model Inputs'!$F$62</f>
        <v>89.400193051774494</v>
      </c>
      <c r="P18" s="38">
        <f>P11+'Model Inputs'!$F$62</f>
        <v>91.323410112809981</v>
      </c>
      <c r="Q18" s="38">
        <f>Q11+'Model Inputs'!$F$62</f>
        <v>93.285091515066185</v>
      </c>
      <c r="R18" s="38">
        <f>R11+'Model Inputs'!$F$62</f>
        <v>95.286006545367513</v>
      </c>
      <c r="S18" s="38">
        <f>S11+'Model Inputs'!$F$62</f>
        <v>97.326939876274864</v>
      </c>
      <c r="T18" s="38">
        <f>T11+'Model Inputs'!$F$62</f>
        <v>99.408691873800365</v>
      </c>
      <c r="U18" s="38">
        <f>U11+'Model Inputs'!$F$62</f>
        <v>101.53207891127637</v>
      </c>
      <c r="V18" s="38">
        <f>V11+'Model Inputs'!$F$62</f>
        <v>103.69793368950189</v>
      </c>
      <c r="W18" s="38">
        <f>W11+'Model Inputs'!$F$62</f>
        <v>105.90710556329194</v>
      </c>
      <c r="X18" s="38">
        <f>X11+'Model Inputs'!$F$62</f>
        <v>108.16046087455777</v>
      </c>
      <c r="Y18" s="38">
        <f>Y11+'Model Inputs'!$F$62</f>
        <v>110.45888329204892</v>
      </c>
      <c r="Z18" s="38">
        <f>Z11+'Model Inputs'!$F$62</f>
        <v>112.8032741578899</v>
      </c>
      <c r="AA18" s="38">
        <f>AA11+'Model Inputs'!$F$62</f>
        <v>115.1945528410477</v>
      </c>
      <c r="AB18" s="38">
        <f>AB11+'Model Inputs'!$F$62</f>
        <v>117.63365709786865</v>
      </c>
      <c r="AC18" s="38">
        <f>AC11+'Model Inputs'!$F$62</f>
        <v>120.12154343982603</v>
      </c>
      <c r="AD18" s="38">
        <f>AD11+'Model Inputs'!$F$62</f>
        <v>122.65918750862254</v>
      </c>
      <c r="AE18" s="38">
        <f>AE11+'Model Inputs'!$F$62</f>
        <v>125.247584458795</v>
      </c>
      <c r="AF18" s="38">
        <f>AF11+'Model Inputs'!$F$62</f>
        <v>127.88774934797091</v>
      </c>
      <c r="AG18" s="38">
        <f>AG11+'Model Inputs'!$F$62</f>
        <v>130.58071753493033</v>
      </c>
      <c r="AH18" s="38">
        <f>AH11+'Model Inputs'!$F$62</f>
        <v>133.32754508562897</v>
      </c>
      <c r="AI18" s="38">
        <f>AI11+'Model Inputs'!$F$62</f>
        <v>136.12930918734156</v>
      </c>
      <c r="AJ18" s="38">
        <f>AJ11+'Model Inputs'!$F$62</f>
        <v>138.98710857108836</v>
      </c>
      <c r="AK18" s="38">
        <f>AK11+'Model Inputs'!$F$62</f>
        <v>141.90206394251015</v>
      </c>
      <c r="AL18" s="38">
        <f>AL11+'Model Inputs'!$F$62</f>
        <v>144.87531842136036</v>
      </c>
      <c r="AM18" s="38">
        <f>AM11+'Model Inputs'!$F$62</f>
        <v>147.90803798978754</v>
      </c>
      <c r="AN18" s="38">
        <f>AN11+'Model Inputs'!$F$62</f>
        <v>151.00141194958331</v>
      </c>
      <c r="AO18" s="38">
        <f>AO11+'Model Inputs'!$F$62</f>
        <v>154.15665338857497</v>
      </c>
      <c r="AP18" s="38">
        <f>AP11+'Model Inputs'!$F$62</f>
        <v>157.37499965634646</v>
      </c>
      <c r="AQ18" s="38">
        <f>AQ11+'Model Inputs'!$F$62</f>
        <v>160.6577128494734</v>
      </c>
      <c r="AR18" s="38">
        <f>AR11+'Model Inputs'!$F$62</f>
        <v>164.00608030646288</v>
      </c>
      <c r="AS18" s="38">
        <f>AS11+'Model Inputs'!$F$62</f>
        <v>167.42141511259217</v>
      </c>
      <c r="AT18" s="38">
        <f>AT11+'Model Inputs'!$F$62</f>
        <v>170.905056614844</v>
      </c>
      <c r="AU18" s="38">
        <f>AU11+'Model Inputs'!$F$62</f>
        <v>174.45837094714091</v>
      </c>
      <c r="AV18" s="38">
        <f>AV11+'Model Inputs'!$F$62</f>
        <v>178.08275156608369</v>
      </c>
      <c r="AW18" s="38">
        <f>AW11+'Model Inputs'!$F$62</f>
        <v>181.77961979740536</v>
      </c>
      <c r="AX18" s="38">
        <f>AX11+'Model Inputs'!$F$62</f>
        <v>185.55042539335346</v>
      </c>
      <c r="AY18" s="38">
        <f>AY11+'Model Inputs'!$F$62</f>
        <v>189.39664710122054</v>
      </c>
      <c r="AZ18" s="38">
        <f>AZ11+'Model Inputs'!$F$62</f>
        <v>193.31979324324499</v>
      </c>
      <c r="BA18" s="38">
        <f>BA11+'Model Inputs'!$F$62</f>
        <v>197.3214023081099</v>
      </c>
      <c r="BB18" s="38">
        <f>BB11+'Model Inputs'!$F$62</f>
        <v>201.40304355427207</v>
      </c>
      <c r="BC18" s="38">
        <f>BC11+'Model Inputs'!$F$62</f>
        <v>205.56631762535756</v>
      </c>
      <c r="BD18" s="38">
        <f>BD11+'Model Inputs'!$F$62</f>
        <v>209.81285717786471</v>
      </c>
      <c r="BE18" s="38">
        <f>BE11+'Model Inputs'!$F$62</f>
        <v>214.14432752142199</v>
      </c>
      <c r="BF18" s="38">
        <f>BF11+'Model Inputs'!$F$62</f>
        <v>218.56242727185042</v>
      </c>
      <c r="BG18" s="38">
        <f>BG11+'Model Inputs'!$F$62</f>
        <v>223.06888901728746</v>
      </c>
      <c r="BH18" s="38">
        <f>BH11+'Model Inputs'!$F$62</f>
        <v>227.66547999763321</v>
      </c>
      <c r="BI18" s="38">
        <f>BI11+'Model Inputs'!$F$62</f>
        <v>232.35400279758585</v>
      </c>
      <c r="BJ18" s="38">
        <f>BJ11+'Model Inputs'!$F$62</f>
        <v>237.13629605353759</v>
      </c>
      <c r="BK18" s="38">
        <f>BK11+'Model Inputs'!$F$62</f>
        <v>242.01423517460836</v>
      </c>
      <c r="BL18" s="38">
        <f>BL11+'Model Inputs'!$F$62</f>
        <v>246.98973307810053</v>
      </c>
      <c r="BM18" s="38">
        <f>BM11+'Model Inputs'!$F$62</f>
        <v>252.06474093966256</v>
      </c>
      <c r="BN18" s="38">
        <f>BN11+'Model Inputs'!$F$62</f>
        <v>257.2412489584558</v>
      </c>
      <c r="BO18" s="38">
        <f>BO11+'Model Inputs'!$F$62</f>
        <v>262.52128713762494</v>
      </c>
    </row>
    <row r="19" spans="1:67" ht="15" customHeight="1" x14ac:dyDescent="0.2">
      <c r="A19" s="14" t="s">
        <v>190</v>
      </c>
      <c r="B19" s="22"/>
      <c r="C19" s="38">
        <f>C11+'Model Inputs'!$F$63</f>
        <v>77.449340000000007</v>
      </c>
      <c r="D19" s="38">
        <f>D11+'Model Inputs'!$F$63</f>
        <v>76.889340000000004</v>
      </c>
      <c r="E19" s="38">
        <f>E11+'Model Inputs'!$F$63</f>
        <v>76.744957570496013</v>
      </c>
      <c r="F19" s="38">
        <f>F11+'Model Inputs'!$F$63</f>
        <v>75.858926489383038</v>
      </c>
      <c r="G19" s="38">
        <f>G11+'Model Inputs'!$F$63</f>
        <v>77.471702165116767</v>
      </c>
      <c r="H19" s="38">
        <f>H11+'Model Inputs'!$F$63</f>
        <v>79.113149408419105</v>
      </c>
      <c r="I19" s="38">
        <f>I11+'Model Inputs'!$F$63</f>
        <v>80.787425596587482</v>
      </c>
      <c r="J19" s="38">
        <f>J11+'Model Inputs'!$F$63</f>
        <v>82.495187308519235</v>
      </c>
      <c r="K19" s="38">
        <f>K11+'Model Inputs'!$F$63</f>
        <v>84.237104254689626</v>
      </c>
      <c r="L19" s="38">
        <f>L11+'Model Inputs'!$F$63</f>
        <v>86.013859539783425</v>
      </c>
      <c r="M19" s="38">
        <f>M11+'Model Inputs'!$F$63</f>
        <v>87.826149930579092</v>
      </c>
      <c r="N19" s="38">
        <f>N11+'Model Inputs'!$F$63</f>
        <v>89.674686129190675</v>
      </c>
      <c r="O19" s="38">
        <f>O11+'Model Inputs'!$F$63</f>
        <v>91.56019305177449</v>
      </c>
      <c r="P19" s="38">
        <f>P11+'Model Inputs'!$F$63</f>
        <v>93.483410112809977</v>
      </c>
      <c r="Q19" s="38">
        <f>Q11+'Model Inputs'!$F$63</f>
        <v>95.445091515066181</v>
      </c>
      <c r="R19" s="38">
        <f>R11+'Model Inputs'!$F$63</f>
        <v>97.44600654536751</v>
      </c>
      <c r="S19" s="38">
        <f>S11+'Model Inputs'!$F$63</f>
        <v>99.48693987627486</v>
      </c>
      <c r="T19" s="38">
        <f>T11+'Model Inputs'!$F$63</f>
        <v>101.56869187380036</v>
      </c>
      <c r="U19" s="38">
        <f>U11+'Model Inputs'!$F$63</f>
        <v>103.69207891127637</v>
      </c>
      <c r="V19" s="38">
        <f>V11+'Model Inputs'!$F$63</f>
        <v>105.85793368950189</v>
      </c>
      <c r="W19" s="38">
        <f>W11+'Model Inputs'!$F$63</f>
        <v>108.06710556329193</v>
      </c>
      <c r="X19" s="38">
        <f>X11+'Model Inputs'!$F$63</f>
        <v>110.32046087455777</v>
      </c>
      <c r="Y19" s="38">
        <f>Y11+'Model Inputs'!$F$63</f>
        <v>112.61888329204892</v>
      </c>
      <c r="Z19" s="38">
        <f>Z11+'Model Inputs'!$F$63</f>
        <v>114.9632741578899</v>
      </c>
      <c r="AA19" s="38">
        <f>AA11+'Model Inputs'!$F$63</f>
        <v>117.35455284104769</v>
      </c>
      <c r="AB19" s="38">
        <f>AB11+'Model Inputs'!$F$63</f>
        <v>119.79365709786865</v>
      </c>
      <c r="AC19" s="38">
        <f>AC11+'Model Inputs'!$F$63</f>
        <v>122.28154343982602</v>
      </c>
      <c r="AD19" s="38">
        <f>AD11+'Model Inputs'!$F$63</f>
        <v>124.81918750862253</v>
      </c>
      <c r="AE19" s="38">
        <f>AE11+'Model Inputs'!$F$63</f>
        <v>127.407584458795</v>
      </c>
      <c r="AF19" s="38">
        <f>AF11+'Model Inputs'!$F$63</f>
        <v>130.04774934797092</v>
      </c>
      <c r="AG19" s="38">
        <f>AG11+'Model Inputs'!$F$63</f>
        <v>132.74071753493035</v>
      </c>
      <c r="AH19" s="38">
        <f>AH11+'Model Inputs'!$F$63</f>
        <v>135.48754508562894</v>
      </c>
      <c r="AI19" s="38">
        <f>AI11+'Model Inputs'!$F$63</f>
        <v>138.28930918734153</v>
      </c>
      <c r="AJ19" s="38">
        <f>AJ11+'Model Inputs'!$F$63</f>
        <v>141.14710857108838</v>
      </c>
      <c r="AK19" s="38">
        <f>AK11+'Model Inputs'!$F$63</f>
        <v>144.06206394251012</v>
      </c>
      <c r="AL19" s="38">
        <f>AL11+'Model Inputs'!$F$63</f>
        <v>147.03531842136033</v>
      </c>
      <c r="AM19" s="38">
        <f>AM11+'Model Inputs'!$F$63</f>
        <v>150.06803798978757</v>
      </c>
      <c r="AN19" s="38">
        <f>AN11+'Model Inputs'!$F$63</f>
        <v>153.16141194958328</v>
      </c>
      <c r="AO19" s="38">
        <f>AO11+'Model Inputs'!$F$63</f>
        <v>156.31665338857499</v>
      </c>
      <c r="AP19" s="38">
        <f>AP11+'Model Inputs'!$F$63</f>
        <v>159.53499965634649</v>
      </c>
      <c r="AQ19" s="38">
        <f>AQ11+'Model Inputs'!$F$63</f>
        <v>162.81771284947342</v>
      </c>
      <c r="AR19" s="38">
        <f>AR11+'Model Inputs'!$F$63</f>
        <v>166.1660803064629</v>
      </c>
      <c r="AS19" s="38">
        <f>AS11+'Model Inputs'!$F$63</f>
        <v>169.58141511259214</v>
      </c>
      <c r="AT19" s="38">
        <f>AT11+'Model Inputs'!$F$63</f>
        <v>173.06505661484402</v>
      </c>
      <c r="AU19" s="38">
        <f>AU11+'Model Inputs'!$F$63</f>
        <v>176.61837094714087</v>
      </c>
      <c r="AV19" s="38">
        <f>AV11+'Model Inputs'!$F$63</f>
        <v>180.24275156608371</v>
      </c>
      <c r="AW19" s="38">
        <f>AW11+'Model Inputs'!$F$63</f>
        <v>183.93961979740538</v>
      </c>
      <c r="AX19" s="38">
        <f>AX11+'Model Inputs'!$F$63</f>
        <v>187.71042539335349</v>
      </c>
      <c r="AY19" s="38">
        <f>AY11+'Model Inputs'!$F$63</f>
        <v>191.55664710122056</v>
      </c>
      <c r="AZ19" s="38">
        <f>AZ11+'Model Inputs'!$F$63</f>
        <v>195.47979324324496</v>
      </c>
      <c r="BA19" s="38">
        <f>BA11+'Model Inputs'!$F$63</f>
        <v>199.48140230810986</v>
      </c>
      <c r="BB19" s="38">
        <f>BB11+'Model Inputs'!$F$63</f>
        <v>203.5630435542721</v>
      </c>
      <c r="BC19" s="38">
        <f>BC11+'Model Inputs'!$F$63</f>
        <v>207.72631762535752</v>
      </c>
      <c r="BD19" s="38">
        <f>BD11+'Model Inputs'!$F$63</f>
        <v>211.97285717786468</v>
      </c>
      <c r="BE19" s="38">
        <f>BE11+'Model Inputs'!$F$63</f>
        <v>216.30432752142201</v>
      </c>
      <c r="BF19" s="38">
        <f>BF11+'Model Inputs'!$F$63</f>
        <v>220.72242727185045</v>
      </c>
      <c r="BG19" s="38">
        <f>BG11+'Model Inputs'!$F$63</f>
        <v>225.22888901728743</v>
      </c>
      <c r="BH19" s="38">
        <f>BH11+'Model Inputs'!$F$63</f>
        <v>229.82547999763318</v>
      </c>
      <c r="BI19" s="38">
        <f>BI11+'Model Inputs'!$F$63</f>
        <v>234.51400279758587</v>
      </c>
      <c r="BJ19" s="38">
        <f>BJ11+'Model Inputs'!$F$63</f>
        <v>239.29629605353756</v>
      </c>
      <c r="BK19" s="38">
        <f>BK11+'Model Inputs'!$F$63</f>
        <v>244.17423517460833</v>
      </c>
      <c r="BL19" s="38">
        <f>BL11+'Model Inputs'!$F$63</f>
        <v>249.1497330781005</v>
      </c>
      <c r="BM19" s="38">
        <f>BM11+'Model Inputs'!$F$63</f>
        <v>254.22474093966252</v>
      </c>
      <c r="BN19" s="38">
        <f>BN11+'Model Inputs'!$F$63</f>
        <v>259.40124895845577</v>
      </c>
      <c r="BO19" s="38">
        <f>BO11+'Model Inputs'!$F$63</f>
        <v>264.68128713762491</v>
      </c>
    </row>
    <row r="20" spans="1:67" ht="15" customHeight="1" x14ac:dyDescent="0.2">
      <c r="A20" s="14" t="s">
        <v>191</v>
      </c>
      <c r="B20" s="22"/>
      <c r="C20" s="38">
        <f>C11+'Model Inputs'!$F$64</f>
        <v>69.869340000000022</v>
      </c>
      <c r="D20" s="38">
        <f>D11+'Model Inputs'!$F$64</f>
        <v>69.30934000000002</v>
      </c>
      <c r="E20" s="38">
        <f>E11+'Model Inputs'!$F$64</f>
        <v>69.164957570496028</v>
      </c>
      <c r="F20" s="38">
        <f>F11+'Model Inputs'!$F$64</f>
        <v>68.278926489383053</v>
      </c>
      <c r="G20" s="38">
        <f>G11+'Model Inputs'!$F$64</f>
        <v>69.891702165116783</v>
      </c>
      <c r="H20" s="38">
        <f>H11+'Model Inputs'!$F$64</f>
        <v>71.533149408419121</v>
      </c>
      <c r="I20" s="38">
        <f>I11+'Model Inputs'!$F$64</f>
        <v>73.207425596587484</v>
      </c>
      <c r="J20" s="38">
        <f>J11+'Model Inputs'!$F$64</f>
        <v>74.915187308519251</v>
      </c>
      <c r="K20" s="38">
        <f>K11+'Model Inputs'!$F$64</f>
        <v>76.657104254689642</v>
      </c>
      <c r="L20" s="38">
        <f>L11+'Model Inputs'!$F$64</f>
        <v>78.433859539783441</v>
      </c>
      <c r="M20" s="38">
        <f>M11+'Model Inputs'!$F$64</f>
        <v>80.246149930579094</v>
      </c>
      <c r="N20" s="38">
        <f>N11+'Model Inputs'!$F$64</f>
        <v>82.094686129190677</v>
      </c>
      <c r="O20" s="38">
        <f>O11+'Model Inputs'!$F$64</f>
        <v>83.980193051774506</v>
      </c>
      <c r="P20" s="38">
        <f>P11+'Model Inputs'!$F$64</f>
        <v>85.903410112809979</v>
      </c>
      <c r="Q20" s="38">
        <f>Q11+'Model Inputs'!$F$64</f>
        <v>87.865091515066183</v>
      </c>
      <c r="R20" s="38">
        <f>R11+'Model Inputs'!$F$64</f>
        <v>89.866006545367526</v>
      </c>
      <c r="S20" s="38">
        <f>S11+'Model Inputs'!$F$64</f>
        <v>91.906939876274862</v>
      </c>
      <c r="T20" s="38">
        <f>T11+'Model Inputs'!$F$64</f>
        <v>93.988691873800377</v>
      </c>
      <c r="U20" s="38">
        <f>U11+'Model Inputs'!$F$64</f>
        <v>96.11207891127637</v>
      </c>
      <c r="V20" s="38">
        <f>V11+'Model Inputs'!$F$64</f>
        <v>98.277933689501907</v>
      </c>
      <c r="W20" s="38">
        <f>W11+'Model Inputs'!$F$64</f>
        <v>100.48710556329195</v>
      </c>
      <c r="X20" s="38">
        <f>X11+'Model Inputs'!$F$64</f>
        <v>102.74046087455778</v>
      </c>
      <c r="Y20" s="38">
        <f>Y11+'Model Inputs'!$F$64</f>
        <v>105.03888329204892</v>
      </c>
      <c r="Z20" s="38">
        <f>Z11+'Model Inputs'!$F$64</f>
        <v>107.3832741578899</v>
      </c>
      <c r="AA20" s="38">
        <f>AA11+'Model Inputs'!$F$64</f>
        <v>109.77455284104769</v>
      </c>
      <c r="AB20" s="38">
        <f>AB11+'Model Inputs'!$F$64</f>
        <v>112.21365709786866</v>
      </c>
      <c r="AC20" s="38">
        <f>AC11+'Model Inputs'!$F$64</f>
        <v>114.70154343982603</v>
      </c>
      <c r="AD20" s="38">
        <f>AD11+'Model Inputs'!$F$64</f>
        <v>117.23918750862254</v>
      </c>
      <c r="AE20" s="38">
        <f>AE11+'Model Inputs'!$F$64</f>
        <v>119.827584458795</v>
      </c>
      <c r="AF20" s="38">
        <f>AF11+'Model Inputs'!$F$64</f>
        <v>122.46774934797091</v>
      </c>
      <c r="AG20" s="38">
        <f>AG11+'Model Inputs'!$F$64</f>
        <v>125.16071753493034</v>
      </c>
      <c r="AH20" s="38">
        <f>AH11+'Model Inputs'!$F$64</f>
        <v>127.90754508562895</v>
      </c>
      <c r="AI20" s="38">
        <f>AI11+'Model Inputs'!$F$64</f>
        <v>130.70930918734155</v>
      </c>
      <c r="AJ20" s="38">
        <f>AJ11+'Model Inputs'!$F$64</f>
        <v>133.56710857108837</v>
      </c>
      <c r="AK20" s="38">
        <f>AK11+'Model Inputs'!$F$64</f>
        <v>136.48206394251014</v>
      </c>
      <c r="AL20" s="38">
        <f>AL11+'Model Inputs'!$F$64</f>
        <v>139.45531842136035</v>
      </c>
      <c r="AM20" s="38">
        <f>AM11+'Model Inputs'!$F$64</f>
        <v>142.48803798978756</v>
      </c>
      <c r="AN20" s="38">
        <f>AN11+'Model Inputs'!$F$64</f>
        <v>145.5814119495833</v>
      </c>
      <c r="AO20" s="38">
        <f>AO11+'Model Inputs'!$F$64</f>
        <v>148.73665338857498</v>
      </c>
      <c r="AP20" s="38">
        <f>AP11+'Model Inputs'!$F$64</f>
        <v>151.95499965634647</v>
      </c>
      <c r="AQ20" s="38">
        <f>AQ11+'Model Inputs'!$F$64</f>
        <v>155.23771284947341</v>
      </c>
      <c r="AR20" s="38">
        <f>AR11+'Model Inputs'!$F$64</f>
        <v>158.58608030646289</v>
      </c>
      <c r="AS20" s="38">
        <f>AS11+'Model Inputs'!$F$64</f>
        <v>162.00141511259216</v>
      </c>
      <c r="AT20" s="38">
        <f>AT11+'Model Inputs'!$F$64</f>
        <v>165.48505661484401</v>
      </c>
      <c r="AU20" s="38">
        <f>AU11+'Model Inputs'!$F$64</f>
        <v>169.03837094714089</v>
      </c>
      <c r="AV20" s="38">
        <f>AV11+'Model Inputs'!$F$64</f>
        <v>172.6627515660837</v>
      </c>
      <c r="AW20" s="38">
        <f>AW11+'Model Inputs'!$F$64</f>
        <v>176.35961979740537</v>
      </c>
      <c r="AX20" s="38">
        <f>AX11+'Model Inputs'!$F$64</f>
        <v>180.13042539335348</v>
      </c>
      <c r="AY20" s="38">
        <f>AY11+'Model Inputs'!$F$64</f>
        <v>183.97664710122055</v>
      </c>
      <c r="AZ20" s="38">
        <f>AZ11+'Model Inputs'!$F$64</f>
        <v>187.89979324324497</v>
      </c>
      <c r="BA20" s="38">
        <f>BA11+'Model Inputs'!$F$64</f>
        <v>191.90140230810988</v>
      </c>
      <c r="BB20" s="38">
        <f>BB11+'Model Inputs'!$F$64</f>
        <v>195.98304355427209</v>
      </c>
      <c r="BC20" s="38">
        <f>BC11+'Model Inputs'!$F$64</f>
        <v>200.14631762535754</v>
      </c>
      <c r="BD20" s="38">
        <f>BD11+'Model Inputs'!$F$64</f>
        <v>204.3928571778647</v>
      </c>
      <c r="BE20" s="38">
        <f>BE11+'Model Inputs'!$F$64</f>
        <v>208.724327521422</v>
      </c>
      <c r="BF20" s="38">
        <f>BF11+'Model Inputs'!$F$64</f>
        <v>213.14242727185044</v>
      </c>
      <c r="BG20" s="38">
        <f>BG11+'Model Inputs'!$F$64</f>
        <v>217.64888901728744</v>
      </c>
      <c r="BH20" s="38">
        <f>BH11+'Model Inputs'!$F$64</f>
        <v>222.2454799976332</v>
      </c>
      <c r="BI20" s="38">
        <f>BI11+'Model Inputs'!$F$64</f>
        <v>226.93400279758586</v>
      </c>
      <c r="BJ20" s="38">
        <f>BJ11+'Model Inputs'!$F$64</f>
        <v>231.71629605353758</v>
      </c>
      <c r="BK20" s="38">
        <f>BK11+'Model Inputs'!$F$64</f>
        <v>236.59423517460834</v>
      </c>
      <c r="BL20" s="38">
        <f>BL11+'Model Inputs'!$F$64</f>
        <v>241.56973307810051</v>
      </c>
      <c r="BM20" s="38">
        <f>BM11+'Model Inputs'!$F$64</f>
        <v>246.64474093966254</v>
      </c>
      <c r="BN20" s="38">
        <f>BN11+'Model Inputs'!$F$64</f>
        <v>251.82124895845578</v>
      </c>
      <c r="BO20" s="38">
        <f>BO11+'Model Inputs'!$F$64</f>
        <v>257.10128713762492</v>
      </c>
    </row>
    <row r="21" spans="1:67" ht="15" customHeight="1" x14ac:dyDescent="0.2">
      <c r="A21" s="14" t="s">
        <v>192</v>
      </c>
      <c r="B21" s="22"/>
      <c r="C21" s="38">
        <f>C11+'Model Inputs'!$F$65</f>
        <v>59.899340000000009</v>
      </c>
      <c r="D21" s="38">
        <f>D11+'Model Inputs'!$F$65</f>
        <v>59.339340000000007</v>
      </c>
      <c r="E21" s="38">
        <f>E11+'Model Inputs'!$F$65</f>
        <v>59.194957570496015</v>
      </c>
      <c r="F21" s="38">
        <f>F11+'Model Inputs'!$F$65</f>
        <v>58.30892648938304</v>
      </c>
      <c r="G21" s="38">
        <f>G11+'Model Inputs'!$F$65</f>
        <v>59.92170216511677</v>
      </c>
      <c r="H21" s="38">
        <f>H11+'Model Inputs'!$F$65</f>
        <v>61.563149408419108</v>
      </c>
      <c r="I21" s="38">
        <f>I11+'Model Inputs'!$F$65</f>
        <v>63.237425596587485</v>
      </c>
      <c r="J21" s="38">
        <f>J11+'Model Inputs'!$F$65</f>
        <v>64.945187308519237</v>
      </c>
      <c r="K21" s="38">
        <f>K11+'Model Inputs'!$F$65</f>
        <v>66.687104254689629</v>
      </c>
      <c r="L21" s="38">
        <f>L11+'Model Inputs'!$F$65</f>
        <v>68.463859539783428</v>
      </c>
      <c r="M21" s="38">
        <f>M11+'Model Inputs'!$F$65</f>
        <v>70.276149930579095</v>
      </c>
      <c r="N21" s="38">
        <f>N11+'Model Inputs'!$F$65</f>
        <v>72.124686129190678</v>
      </c>
      <c r="O21" s="38">
        <f>O11+'Model Inputs'!$F$65</f>
        <v>74.010193051774493</v>
      </c>
      <c r="P21" s="38">
        <f>P11+'Model Inputs'!$F$65</f>
        <v>75.93341011280998</v>
      </c>
      <c r="Q21" s="38">
        <f>Q11+'Model Inputs'!$F$65</f>
        <v>77.895091515066184</v>
      </c>
      <c r="R21" s="38">
        <f>R11+'Model Inputs'!$F$65</f>
        <v>79.896006545367513</v>
      </c>
      <c r="S21" s="38">
        <f>S11+'Model Inputs'!$F$65</f>
        <v>81.936939876274863</v>
      </c>
      <c r="T21" s="38">
        <f>T11+'Model Inputs'!$F$65</f>
        <v>84.018691873800364</v>
      </c>
      <c r="U21" s="38">
        <f>U11+'Model Inputs'!$F$65</f>
        <v>86.142078911276371</v>
      </c>
      <c r="V21" s="38">
        <f>V11+'Model Inputs'!$F$65</f>
        <v>88.307933689501894</v>
      </c>
      <c r="W21" s="38">
        <f>W11+'Model Inputs'!$F$65</f>
        <v>90.517105563291935</v>
      </c>
      <c r="X21" s="38">
        <f>X11+'Model Inputs'!$F$65</f>
        <v>92.77046087455777</v>
      </c>
      <c r="Y21" s="38">
        <f>Y11+'Model Inputs'!$F$65</f>
        <v>95.068883292048923</v>
      </c>
      <c r="Z21" s="38">
        <f>Z11+'Model Inputs'!$F$65</f>
        <v>97.413274157889902</v>
      </c>
      <c r="AA21" s="38">
        <f>AA11+'Model Inputs'!$F$65</f>
        <v>99.804552841047695</v>
      </c>
      <c r="AB21" s="38">
        <f>AB11+'Model Inputs'!$F$65</f>
        <v>102.24365709786865</v>
      </c>
      <c r="AC21" s="38">
        <f>AC11+'Model Inputs'!$F$65</f>
        <v>104.73154343982603</v>
      </c>
      <c r="AD21" s="38">
        <f>AD11+'Model Inputs'!$F$65</f>
        <v>107.26918750862254</v>
      </c>
      <c r="AE21" s="38">
        <f>AE11+'Model Inputs'!$F$65</f>
        <v>109.857584458795</v>
      </c>
      <c r="AF21" s="38">
        <f>AF11+'Model Inputs'!$F$65</f>
        <v>112.49774934797091</v>
      </c>
      <c r="AG21" s="38">
        <f>AG11+'Model Inputs'!$F$65</f>
        <v>115.19071753493034</v>
      </c>
      <c r="AH21" s="38">
        <f>AH11+'Model Inputs'!$F$65</f>
        <v>117.93754508562895</v>
      </c>
      <c r="AI21" s="38">
        <f>AI11+'Model Inputs'!$F$65</f>
        <v>120.73930918734155</v>
      </c>
      <c r="AJ21" s="38">
        <f>AJ11+'Model Inputs'!$F$65</f>
        <v>123.59710857108837</v>
      </c>
      <c r="AK21" s="38">
        <f>AK11+'Model Inputs'!$F$65</f>
        <v>126.51206394251014</v>
      </c>
      <c r="AL21" s="38">
        <f>AL11+'Model Inputs'!$F$65</f>
        <v>129.48531842136035</v>
      </c>
      <c r="AM21" s="38">
        <f>AM11+'Model Inputs'!$F$65</f>
        <v>132.51803798978756</v>
      </c>
      <c r="AN21" s="38">
        <f>AN11+'Model Inputs'!$F$65</f>
        <v>135.6114119495833</v>
      </c>
      <c r="AO21" s="38">
        <f>AO11+'Model Inputs'!$F$65</f>
        <v>138.76665338857498</v>
      </c>
      <c r="AP21" s="38">
        <f>AP11+'Model Inputs'!$F$65</f>
        <v>141.98499965634647</v>
      </c>
      <c r="AQ21" s="38">
        <f>AQ11+'Model Inputs'!$F$65</f>
        <v>145.26771284947341</v>
      </c>
      <c r="AR21" s="38">
        <f>AR11+'Model Inputs'!$F$65</f>
        <v>148.61608030646289</v>
      </c>
      <c r="AS21" s="38">
        <f>AS11+'Model Inputs'!$F$65</f>
        <v>152.03141511259216</v>
      </c>
      <c r="AT21" s="38">
        <f>AT11+'Model Inputs'!$F$65</f>
        <v>155.51505661484401</v>
      </c>
      <c r="AU21" s="38">
        <f>AU11+'Model Inputs'!$F$65</f>
        <v>159.06837094714089</v>
      </c>
      <c r="AV21" s="38">
        <f>AV11+'Model Inputs'!$F$65</f>
        <v>162.6927515660837</v>
      </c>
      <c r="AW21" s="38">
        <f>AW11+'Model Inputs'!$F$65</f>
        <v>166.38961979740537</v>
      </c>
      <c r="AX21" s="38">
        <f>AX11+'Model Inputs'!$F$65</f>
        <v>170.16042539335348</v>
      </c>
      <c r="AY21" s="38">
        <f>AY11+'Model Inputs'!$F$65</f>
        <v>174.00664710122055</v>
      </c>
      <c r="AZ21" s="38">
        <f>AZ11+'Model Inputs'!$F$65</f>
        <v>177.92979324324497</v>
      </c>
      <c r="BA21" s="38">
        <f>BA11+'Model Inputs'!$F$65</f>
        <v>181.93140230810988</v>
      </c>
      <c r="BB21" s="38">
        <f>BB11+'Model Inputs'!$F$65</f>
        <v>186.01304355427209</v>
      </c>
      <c r="BC21" s="38">
        <f>BC11+'Model Inputs'!$F$65</f>
        <v>190.17631762535754</v>
      </c>
      <c r="BD21" s="38">
        <f>BD11+'Model Inputs'!$F$65</f>
        <v>194.4228571778647</v>
      </c>
      <c r="BE21" s="38">
        <f>BE11+'Model Inputs'!$F$65</f>
        <v>198.754327521422</v>
      </c>
      <c r="BF21" s="38">
        <f>BF11+'Model Inputs'!$F$65</f>
        <v>203.17242727185044</v>
      </c>
      <c r="BG21" s="38">
        <f>BG11+'Model Inputs'!$F$65</f>
        <v>207.67888901728745</v>
      </c>
      <c r="BH21" s="38">
        <f>BH11+'Model Inputs'!$F$65</f>
        <v>212.2754799976332</v>
      </c>
      <c r="BI21" s="38">
        <f>BI11+'Model Inputs'!$F$65</f>
        <v>216.96400279758586</v>
      </c>
      <c r="BJ21" s="38">
        <f>BJ11+'Model Inputs'!$F$65</f>
        <v>221.74629605353758</v>
      </c>
      <c r="BK21" s="38">
        <f>BK11+'Model Inputs'!$F$65</f>
        <v>226.62423517460834</v>
      </c>
      <c r="BL21" s="38">
        <f>BL11+'Model Inputs'!$F$65</f>
        <v>231.59973307810051</v>
      </c>
      <c r="BM21" s="38">
        <f>BM11+'Model Inputs'!$F$65</f>
        <v>236.67474093966254</v>
      </c>
      <c r="BN21" s="38">
        <f>BN11+'Model Inputs'!$F$65</f>
        <v>241.85124895845578</v>
      </c>
      <c r="BO21" s="38">
        <f>BO11+'Model Inputs'!$F$65</f>
        <v>247.13128713762492</v>
      </c>
    </row>
    <row r="22" spans="1:67" ht="15" customHeight="1" x14ac:dyDescent="0.2">
      <c r="A22" s="14" t="s">
        <v>193</v>
      </c>
      <c r="B22" s="22"/>
      <c r="C22" s="38">
        <f>C12+'Model Inputs'!$F$66</f>
        <v>94.102427400586009</v>
      </c>
      <c r="D22" s="38">
        <f>D12+'Model Inputs'!$F$66</f>
        <v>92.252427400586015</v>
      </c>
      <c r="E22" s="38">
        <f>E12+'Model Inputs'!$F$66</f>
        <v>92.067708485080445</v>
      </c>
      <c r="F22" s="38">
        <f>F12+'Model Inputs'!$F$66</f>
        <v>90.992524701257949</v>
      </c>
      <c r="G22" s="38">
        <f>G12+'Model Inputs'!$F$66</f>
        <v>92.87409632294731</v>
      </c>
      <c r="H22" s="38">
        <f>H12+'Model Inputs'!$F$66</f>
        <v>94.786529701394542</v>
      </c>
      <c r="I22" s="38">
        <f>I12+'Model Inputs'!$F$66</f>
        <v>96.737211747410711</v>
      </c>
      <c r="J22" s="38">
        <f>J12+'Model Inputs'!$F$66</f>
        <v>98.726907434347211</v>
      </c>
      <c r="K22" s="38">
        <f>K12+'Model Inputs'!$F$66</f>
        <v>100.75639703502243</v>
      </c>
      <c r="L22" s="38">
        <f>L12+'Model Inputs'!$F$66</f>
        <v>102.82647642771116</v>
      </c>
      <c r="M22" s="38">
        <f>M12+'Model Inputs'!$F$66</f>
        <v>104.93795740825367</v>
      </c>
      <c r="N22" s="38">
        <f>N12+'Model Inputs'!$F$66</f>
        <v>107.09166800840703</v>
      </c>
      <c r="O22" s="38">
        <f>O12+'Model Inputs'!$F$66</f>
        <v>109.28845282056345</v>
      </c>
      <c r="P22" s="38">
        <f>P12+'Model Inputs'!$F$66</f>
        <v>111.529173328963</v>
      </c>
      <c r="Q22" s="38">
        <f>Q12+'Model Inputs'!$F$66</f>
        <v>113.81470824753053</v>
      </c>
      <c r="R22" s="38">
        <f>R12+'Model Inputs'!$F$66</f>
        <v>116.14595386446942</v>
      </c>
      <c r="S22" s="38">
        <f>S12+'Model Inputs'!$F$66</f>
        <v>118.52382439374709</v>
      </c>
      <c r="T22" s="38">
        <f>T12+'Model Inputs'!$F$66</f>
        <v>120.94925233361032</v>
      </c>
      <c r="U22" s="38">
        <f>U12+'Model Inputs'!$F$66</f>
        <v>123.42318883227081</v>
      </c>
      <c r="V22" s="38">
        <f>V12+'Model Inputs'!$F$66</f>
        <v>125.94660406090452</v>
      </c>
      <c r="W22" s="38">
        <f>W12+'Model Inputs'!$F$66</f>
        <v>128.5204875941109</v>
      </c>
      <c r="X22" s="38">
        <f>X12+'Model Inputs'!$F$66</f>
        <v>131.14584879798142</v>
      </c>
      <c r="Y22" s="38">
        <f>Y12+'Model Inputs'!$F$66</f>
        <v>133.82371722592933</v>
      </c>
      <c r="Z22" s="38">
        <f>Z12+'Model Inputs'!$F$66</f>
        <v>136.5551430224362</v>
      </c>
      <c r="AA22" s="38">
        <f>AA12+'Model Inputs'!$F$66</f>
        <v>139.34119733487321</v>
      </c>
      <c r="AB22" s="38">
        <f>AB12+'Model Inputs'!$F$66</f>
        <v>142.18297273355896</v>
      </c>
      <c r="AC22" s="38">
        <f>AC12+'Model Inputs'!$F$66</f>
        <v>145.08158364021841</v>
      </c>
      <c r="AD22" s="38">
        <f>AD12+'Model Inputs'!$F$66</f>
        <v>148.03816676501106</v>
      </c>
      <c r="AE22" s="38">
        <f>AE12+'Model Inputs'!$F$66</f>
        <v>151.05388155229957</v>
      </c>
      <c r="AF22" s="38">
        <f>AF12+'Model Inputs'!$F$66</f>
        <v>154.12991063533386</v>
      </c>
      <c r="AG22" s="38">
        <f>AG12+'Model Inputs'!$F$66</f>
        <v>157.26746030002883</v>
      </c>
      <c r="AH22" s="38">
        <f>AH12+'Model Inputs'!$F$66</f>
        <v>160.46776095801769</v>
      </c>
      <c r="AI22" s="38">
        <f>AI12+'Model Inputs'!$F$66</f>
        <v>163.73206762916632</v>
      </c>
      <c r="AJ22" s="38">
        <f>AJ12+'Model Inputs'!$F$66</f>
        <v>167.06166043373793</v>
      </c>
      <c r="AK22" s="38">
        <f>AK12+'Model Inputs'!$F$66</f>
        <v>170.45784509440097</v>
      </c>
      <c r="AL22" s="38">
        <f>AL12+'Model Inputs'!$F$66</f>
        <v>173.92195344827726</v>
      </c>
      <c r="AM22" s="38">
        <f>AM12+'Model Inputs'!$F$66</f>
        <v>177.45534396923108</v>
      </c>
      <c r="AN22" s="38">
        <f>AN12+'Model Inputs'!$F$66</f>
        <v>181.05940230060398</v>
      </c>
      <c r="AO22" s="38">
        <f>AO12+'Model Inputs'!$F$66</f>
        <v>184.73554179860434</v>
      </c>
      <c r="AP22" s="38">
        <f>AP12+'Model Inputs'!$F$66</f>
        <v>188.48520408656472</v>
      </c>
      <c r="AQ22" s="38">
        <f>AQ12+'Model Inputs'!$F$66</f>
        <v>192.3098596202843</v>
      </c>
      <c r="AR22" s="38">
        <f>AR12+'Model Inputs'!$F$66</f>
        <v>196.21100826467827</v>
      </c>
      <c r="AS22" s="38">
        <f>AS12+'Model Inputs'!$F$66</f>
        <v>200.19017988196012</v>
      </c>
      <c r="AT22" s="38">
        <f>AT12+'Model Inputs'!$F$66</f>
        <v>204.2489349315876</v>
      </c>
      <c r="AU22" s="38">
        <f>AU12+'Model Inputs'!$F$66</f>
        <v>208.38886508220764</v>
      </c>
      <c r="AV22" s="38">
        <f>AV12+'Model Inputs'!$F$66</f>
        <v>212.61159383584007</v>
      </c>
      <c r="AW22" s="38">
        <f>AW12+'Model Inputs'!$F$66</f>
        <v>216.91877716454516</v>
      </c>
      <c r="AX22" s="38">
        <f>AX12+'Model Inputs'!$F$66</f>
        <v>221.31210415982434</v>
      </c>
      <c r="AY22" s="38">
        <f>AY12+'Model Inputs'!$F$66</f>
        <v>225.7932976950091</v>
      </c>
      <c r="AZ22" s="38">
        <f>AZ12+'Model Inputs'!$F$66</f>
        <v>230.36411510089758</v>
      </c>
      <c r="BA22" s="38">
        <f>BA12+'Model Inputs'!$F$66</f>
        <v>235.0263488549038</v>
      </c>
      <c r="BB22" s="38">
        <f>BB12+'Model Inputs'!$F$66</f>
        <v>239.78182728399017</v>
      </c>
      <c r="BC22" s="38">
        <f>BC12+'Model Inputs'!$F$66</f>
        <v>244.63241528165827</v>
      </c>
      <c r="BD22" s="38">
        <f>BD12+'Model Inputs'!$F$66</f>
        <v>249.58001503927971</v>
      </c>
      <c r="BE22" s="38">
        <f>BE12+'Model Inputs'!$F$66</f>
        <v>254.62656679205358</v>
      </c>
      <c r="BF22" s="38">
        <f>BF12+'Model Inputs'!$F$66</f>
        <v>259.7740495798829</v>
      </c>
      <c r="BG22" s="38">
        <f>BG12+'Model Inputs'!$F$66</f>
        <v>265.02448202346886</v>
      </c>
      <c r="BH22" s="38">
        <f>BH12+'Model Inputs'!$F$66</f>
        <v>270.37992311592654</v>
      </c>
      <c r="BI22" s="38">
        <f>BI12+'Model Inputs'!$F$66</f>
        <v>275.84247303023335</v>
      </c>
      <c r="BJ22" s="38">
        <f>BJ12+'Model Inputs'!$F$66</f>
        <v>281.4142739428263</v>
      </c>
      <c r="BK22" s="38">
        <f>BK12+'Model Inputs'!$F$66</f>
        <v>287.09751087367113</v>
      </c>
      <c r="BL22" s="38">
        <f>BL12+'Model Inputs'!$F$66</f>
        <v>292.89441254313283</v>
      </c>
      <c r="BM22" s="38">
        <f>BM12+'Model Inputs'!$F$66</f>
        <v>298.80725224598382</v>
      </c>
      <c r="BN22" s="38">
        <f>BN12+'Model Inputs'!$F$66</f>
        <v>304.83834874289175</v>
      </c>
      <c r="BO22" s="38">
        <f>BO12+'Model Inputs'!$F$66</f>
        <v>310.99006716973781</v>
      </c>
    </row>
    <row r="23" spans="1:67" ht="15" customHeight="1" x14ac:dyDescent="0.2">
      <c r="A23" s="14" t="s">
        <v>194</v>
      </c>
      <c r="B23" s="22"/>
      <c r="C23" s="38">
        <f>C13*'Model Inputs'!$F$67</f>
        <v>58.570186225553336</v>
      </c>
      <c r="D23" s="38">
        <f>D13*'Model Inputs'!$F$67</f>
        <v>58.200541629620531</v>
      </c>
      <c r="E23" s="38">
        <f>E13*'Model Inputs'!$F$67</f>
        <v>58.0943304178139</v>
      </c>
      <c r="F23" s="38">
        <f>F13*'Model Inputs'!$F$67</f>
        <v>57.450337101315753</v>
      </c>
      <c r="G23" s="38">
        <f>G13*'Model Inputs'!$F$67</f>
        <v>58.6401914194171</v>
      </c>
      <c r="H23" s="38">
        <f>H13*'Model Inputs'!$F$67</f>
        <v>59.812995247805432</v>
      </c>
      <c r="I23" s="38">
        <f>I13*'Model Inputs'!$F$67</f>
        <v>61.00925515276154</v>
      </c>
      <c r="J23" s="38">
        <f>J13*'Model Inputs'!$F$67</f>
        <v>62.229440255816769</v>
      </c>
      <c r="K23" s="38">
        <f>K13*'Model Inputs'!$F$67</f>
        <v>63.474029060933105</v>
      </c>
      <c r="L23" s="38">
        <f>L13*'Model Inputs'!$F$67</f>
        <v>64.743509642151778</v>
      </c>
      <c r="M23" s="38">
        <f>M13*'Model Inputs'!$F$67</f>
        <v>66.038379834994814</v>
      </c>
      <c r="N23" s="38">
        <f>N13*'Model Inputs'!$F$67</f>
        <v>67.359147431694709</v>
      </c>
      <c r="O23" s="38">
        <f>O13*'Model Inputs'!$F$67</f>
        <v>68.706330380328609</v>
      </c>
      <c r="P23" s="38">
        <f>P13*'Model Inputs'!$F$67</f>
        <v>70.080456987935179</v>
      </c>
      <c r="Q23" s="38">
        <f>Q13*'Model Inputs'!$F$67</f>
        <v>71.482066127693884</v>
      </c>
      <c r="R23" s="38">
        <f>R13*'Model Inputs'!$F$67</f>
        <v>72.911707450247761</v>
      </c>
      <c r="S23" s="38">
        <f>S13*'Model Inputs'!$F$67</f>
        <v>74.369941599252726</v>
      </c>
      <c r="T23" s="38">
        <f>T13*'Model Inputs'!$F$67</f>
        <v>75.857340431237773</v>
      </c>
      <c r="U23" s="38">
        <f>U13*'Model Inputs'!$F$67</f>
        <v>77.374487239862532</v>
      </c>
      <c r="V23" s="38">
        <f>V13*'Model Inputs'!$F$67</f>
        <v>78.921976984659793</v>
      </c>
      <c r="W23" s="38">
        <f>W13*'Model Inputs'!$F$67</f>
        <v>80.500416524352985</v>
      </c>
      <c r="X23" s="38">
        <f>X13*'Model Inputs'!$F$67</f>
        <v>82.110424854840034</v>
      </c>
      <c r="Y23" s="38">
        <f>Y13*'Model Inputs'!$F$67</f>
        <v>83.752633351936851</v>
      </c>
      <c r="Z23" s="38">
        <f>Z13*'Model Inputs'!$F$67</f>
        <v>85.427686018975592</v>
      </c>
      <c r="AA23" s="38">
        <f>AA13*'Model Inputs'!$F$67</f>
        <v>87.136239739355105</v>
      </c>
      <c r="AB23" s="38">
        <f>AB13*'Model Inputs'!$F$67</f>
        <v>88.878964534142213</v>
      </c>
      <c r="AC23" s="38">
        <f>AC13*'Model Inputs'!$F$67</f>
        <v>90.656543824825064</v>
      </c>
      <c r="AD23" s="38">
        <f>AD13*'Model Inputs'!$F$67</f>
        <v>92.46967470132158</v>
      </c>
      <c r="AE23" s="38">
        <f>AE13*'Model Inputs'!$F$67</f>
        <v>94.319068195348009</v>
      </c>
      <c r="AF23" s="38">
        <f>AF13*'Model Inputs'!$F$67</f>
        <v>96.205449559254973</v>
      </c>
      <c r="AG23" s="38">
        <f>AG13*'Model Inputs'!$F$67</f>
        <v>98.129558550440066</v>
      </c>
      <c r="AH23" s="38">
        <f>AH13*'Model Inputs'!$F$67</f>
        <v>100.09214972144888</v>
      </c>
      <c r="AI23" s="38">
        <f>AI13*'Model Inputs'!$F$67</f>
        <v>102.09399271587786</v>
      </c>
      <c r="AJ23" s="38">
        <f>AJ13*'Model Inputs'!$F$67</f>
        <v>104.13587257019542</v>
      </c>
      <c r="AK23" s="38">
        <f>AK13*'Model Inputs'!$F$67</f>
        <v>106.21859002159933</v>
      </c>
      <c r="AL23" s="38">
        <f>AL13*'Model Inputs'!$F$67</f>
        <v>108.3429618220313</v>
      </c>
      <c r="AM23" s="38">
        <f>AM13*'Model Inputs'!$F$67</f>
        <v>110.50982105847193</v>
      </c>
      <c r="AN23" s="38">
        <f>AN13*'Model Inputs'!$F$67</f>
        <v>112.72001747964136</v>
      </c>
      <c r="AO23" s="38">
        <f>AO13*'Model Inputs'!$F$67</f>
        <v>114.9744178292342</v>
      </c>
      <c r="AP23" s="38">
        <f>AP13*'Model Inputs'!$F$67</f>
        <v>117.27390618581887</v>
      </c>
      <c r="AQ23" s="38">
        <f>AQ13*'Model Inputs'!$F$67</f>
        <v>119.61938430953526</v>
      </c>
      <c r="AR23" s="38">
        <f>AR13*'Model Inputs'!$F$67</f>
        <v>122.01177199572597</v>
      </c>
      <c r="AS23" s="38">
        <f>AS13*'Model Inputs'!$F$67</f>
        <v>124.4520074356405</v>
      </c>
      <c r="AT23" s="38">
        <f>AT13*'Model Inputs'!$F$67</f>
        <v>126.9410475843533</v>
      </c>
      <c r="AU23" s="38">
        <f>AU13*'Model Inputs'!$F$67</f>
        <v>129.47986853604039</v>
      </c>
      <c r="AV23" s="38">
        <f>AV13*'Model Inputs'!$F$67</f>
        <v>132.0694659067612</v>
      </c>
      <c r="AW23" s="38">
        <f>AW13*'Model Inputs'!$F$67</f>
        <v>134.71085522489642</v>
      </c>
      <c r="AX23" s="38">
        <f>AX13*'Model Inputs'!$F$67</f>
        <v>137.40507232939436</v>
      </c>
      <c r="AY23" s="38">
        <f>AY13*'Model Inputs'!$F$67</f>
        <v>140.15317377598222</v>
      </c>
      <c r="AZ23" s="38">
        <f>AZ13*'Model Inputs'!$F$67</f>
        <v>142.95623725150188</v>
      </c>
      <c r="BA23" s="38">
        <f>BA13*'Model Inputs'!$F$67</f>
        <v>145.81536199653192</v>
      </c>
      <c r="BB23" s="38">
        <f>BB13*'Model Inputs'!$F$67</f>
        <v>148.73166923646258</v>
      </c>
      <c r="BC23" s="38">
        <f>BC13*'Model Inputs'!$F$67</f>
        <v>151.70630262119184</v>
      </c>
      <c r="BD23" s="38">
        <f>BD13*'Model Inputs'!$F$67</f>
        <v>154.74042867361567</v>
      </c>
      <c r="BE23" s="38">
        <f>BE13*'Model Inputs'!$F$67</f>
        <v>157.835237247088</v>
      </c>
      <c r="BF23" s="38">
        <f>BF13*'Model Inputs'!$F$67</f>
        <v>160.99194199202975</v>
      </c>
      <c r="BG23" s="38">
        <f>BG13*'Model Inputs'!$F$67</f>
        <v>164.21178083187036</v>
      </c>
      <c r="BH23" s="38">
        <f>BH13*'Model Inputs'!$F$67</f>
        <v>167.49601644850776</v>
      </c>
      <c r="BI23" s="38">
        <f>BI13*'Model Inputs'!$F$67</f>
        <v>170.84593677747793</v>
      </c>
      <c r="BJ23" s="38">
        <f>BJ13*'Model Inputs'!$F$67</f>
        <v>174.26285551302746</v>
      </c>
      <c r="BK23" s="38">
        <f>BK13*'Model Inputs'!$F$67</f>
        <v>177.74811262328802</v>
      </c>
      <c r="BL23" s="38">
        <f>BL13*'Model Inputs'!$F$67</f>
        <v>181.30307487575377</v>
      </c>
      <c r="BM23" s="38">
        <f>BM13*'Model Inputs'!$F$67</f>
        <v>184.92913637326885</v>
      </c>
      <c r="BN23" s="38">
        <f>BN13*'Model Inputs'!$F$67</f>
        <v>188.62771910073423</v>
      </c>
      <c r="BO23" s="38">
        <f>BO13*'Model Inputs'!$F$67</f>
        <v>192.4002734827489</v>
      </c>
    </row>
    <row r="24" spans="1:67" ht="15" customHeight="1" x14ac:dyDescent="0.2">
      <c r="A24" s="14" t="s">
        <v>195</v>
      </c>
      <c r="B24" s="22"/>
      <c r="C24" s="38">
        <f>C14+'Model Inputs'!$F$68</f>
        <v>2.2230943999999999</v>
      </c>
      <c r="D24" s="38">
        <f>D14+'Model Inputs'!$F$68</f>
        <v>2.8130943999999998</v>
      </c>
      <c r="E24" s="38">
        <f>E14+'Model Inputs'!$F$68</f>
        <v>3.1830943999999999</v>
      </c>
      <c r="F24" s="38">
        <f>F14+'Model Inputs'!$F$68</f>
        <v>3.4930943999999999</v>
      </c>
      <c r="G24" s="38">
        <f>G14+'Model Inputs'!$F$68</f>
        <v>3.5630943999999998</v>
      </c>
      <c r="H24" s="38">
        <f>H14+'Model Inputs'!$F$68</f>
        <v>3.6330944000000001</v>
      </c>
      <c r="I24" s="38">
        <f>I14+'Model Inputs'!$F$68</f>
        <v>3.7044944000000002</v>
      </c>
      <c r="J24" s="38">
        <f>J14+'Model Inputs'!$F$68</f>
        <v>3.7773224000000001</v>
      </c>
      <c r="K24" s="38">
        <f>K14+'Model Inputs'!$F$68</f>
        <v>3.8516069600000002</v>
      </c>
      <c r="L24" s="38">
        <f>L14+'Model Inputs'!$F$68</f>
        <v>3.9273772112000005</v>
      </c>
      <c r="M24" s="38">
        <f>M14+'Model Inputs'!$F$68</f>
        <v>4.0046628674240008</v>
      </c>
      <c r="N24" s="38">
        <f>N14+'Model Inputs'!$F$68</f>
        <v>4.0834942367724807</v>
      </c>
      <c r="O24" s="38">
        <f>O14+'Model Inputs'!$F$68</f>
        <v>4.1639022335079305</v>
      </c>
      <c r="P24" s="38">
        <f>P14+'Model Inputs'!$F$68</f>
        <v>4.2459183901780895</v>
      </c>
      <c r="Q24" s="38">
        <f>Q14+'Model Inputs'!$F$68</f>
        <v>4.3295748699816512</v>
      </c>
      <c r="R24" s="38">
        <f>R14+'Model Inputs'!$F$68</f>
        <v>4.4149044793812839</v>
      </c>
      <c r="S24" s="38">
        <f>S14+'Model Inputs'!$F$68</f>
        <v>4.50194068096891</v>
      </c>
      <c r="T24" s="38">
        <f>T14+'Model Inputs'!$F$68</f>
        <v>4.5907176065882886</v>
      </c>
      <c r="U24" s="38">
        <f>U14+'Model Inputs'!$F$68</f>
        <v>4.6812700707200543</v>
      </c>
      <c r="V24" s="38">
        <f>V14+'Model Inputs'!$F$68</f>
        <v>4.7736335841344557</v>
      </c>
      <c r="W24" s="38">
        <f>W14+'Model Inputs'!$F$68</f>
        <v>4.8678443678171446</v>
      </c>
      <c r="X24" s="38">
        <f>X14+'Model Inputs'!$F$68</f>
        <v>4.9639393671734879</v>
      </c>
      <c r="Y24" s="38">
        <f>Y14+'Model Inputs'!$F$68</f>
        <v>5.0619562665169582</v>
      </c>
      <c r="Z24" s="38">
        <f>Z14+'Model Inputs'!$F$68</f>
        <v>5.1619335038472975</v>
      </c>
      <c r="AA24" s="38">
        <f>AA14+'Model Inputs'!$F$68</f>
        <v>5.2639102859242435</v>
      </c>
      <c r="AB24" s="38">
        <f>AB14+'Model Inputs'!$F$68</f>
        <v>5.3679266036427284</v>
      </c>
      <c r="AC24" s="38">
        <f>AC14+'Model Inputs'!$F$68</f>
        <v>5.474023247715583</v>
      </c>
      <c r="AD24" s="38">
        <f>AD14+'Model Inputs'!$F$68</f>
        <v>5.5822418246698948</v>
      </c>
      <c r="AE24" s="38">
        <f>AE14+'Model Inputs'!$F$68</f>
        <v>5.6926247731632929</v>
      </c>
      <c r="AF24" s="38">
        <f>AF14+'Model Inputs'!$F$68</f>
        <v>5.8052153806265592</v>
      </c>
      <c r="AG24" s="38">
        <f>AG14+'Model Inputs'!$F$68</f>
        <v>5.9200578002390909</v>
      </c>
      <c r="AH24" s="38">
        <f>AH14+'Model Inputs'!$F$68</f>
        <v>6.0371970682438727</v>
      </c>
      <c r="AI24" s="38">
        <f>AI14+'Model Inputs'!$F$68</f>
        <v>6.1566791216087502</v>
      </c>
      <c r="AJ24" s="38">
        <f>AJ14+'Model Inputs'!$F$68</f>
        <v>6.2785508160409256</v>
      </c>
      <c r="AK24" s="38">
        <f>AK14+'Model Inputs'!$F$68</f>
        <v>6.4028599443617438</v>
      </c>
      <c r="AL24" s="38">
        <f>AL14+'Model Inputs'!$F$68</f>
        <v>6.5296552552489784</v>
      </c>
      <c r="AM24" s="38">
        <f>AM14+'Model Inputs'!$F$68</f>
        <v>6.6589864723539582</v>
      </c>
      <c r="AN24" s="38">
        <f>AN14+'Model Inputs'!$F$68</f>
        <v>6.7909043138010379</v>
      </c>
      <c r="AO24" s="38">
        <f>AO14+'Model Inputs'!$F$68</f>
        <v>6.9254605120770591</v>
      </c>
      <c r="AP24" s="38">
        <f>AP14+'Model Inputs'!$F$68</f>
        <v>7.0627078343186005</v>
      </c>
      <c r="AQ24" s="38">
        <f>AQ14+'Model Inputs'!$F$68</f>
        <v>7.2027001030049727</v>
      </c>
      <c r="AR24" s="38">
        <f>AR14+'Model Inputs'!$F$68</f>
        <v>7.3454922170650718</v>
      </c>
      <c r="AS24" s="38">
        <f>AS14+'Model Inputs'!$F$68</f>
        <v>7.4911401734063734</v>
      </c>
      <c r="AT24" s="38">
        <f>AT14+'Model Inputs'!$F$68</f>
        <v>7.6397010888745012</v>
      </c>
      <c r="AU24" s="38">
        <f>AU14+'Model Inputs'!$F$68</f>
        <v>7.7912332226519911</v>
      </c>
      <c r="AV24" s="38">
        <f>AV14+'Model Inputs'!$F$68</f>
        <v>7.9457959991050311</v>
      </c>
      <c r="AW24" s="38">
        <f>AW14+'Model Inputs'!$F$68</f>
        <v>8.1034500310871316</v>
      </c>
      <c r="AX24" s="38">
        <f>AX14+'Model Inputs'!$F$68</f>
        <v>8.2642571437088748</v>
      </c>
      <c r="AY24" s="38">
        <f>AY14+'Model Inputs'!$F$68</f>
        <v>8.4282803985830519</v>
      </c>
      <c r="AZ24" s="38">
        <f>AZ14+'Model Inputs'!$F$68</f>
        <v>8.595584118554715</v>
      </c>
      <c r="BA24" s="38">
        <f>BA14+'Model Inputs'!$F$68</f>
        <v>8.7662339129258093</v>
      </c>
      <c r="BB24" s="38">
        <f>BB14+'Model Inputs'!$F$68</f>
        <v>8.9402967031843232</v>
      </c>
      <c r="BC24" s="38">
        <f>BC14+'Model Inputs'!$F$68</f>
        <v>9.1178407492480105</v>
      </c>
      <c r="BD24" s="38">
        <f>BD14+'Model Inputs'!$F$68</f>
        <v>9.298935676232972</v>
      </c>
      <c r="BE24" s="38">
        <f>BE14+'Model Inputs'!$F$68</f>
        <v>9.4836525017576321</v>
      </c>
      <c r="BF24" s="38">
        <f>BF14+'Model Inputs'!$F$68</f>
        <v>9.6720636637927839</v>
      </c>
      <c r="BG24" s="38">
        <f>BG14+'Model Inputs'!$F$68</f>
        <v>9.8642430490686408</v>
      </c>
      <c r="BH24" s="38">
        <f>BH14+'Model Inputs'!$F$68</f>
        <v>10.060266022050012</v>
      </c>
      <c r="BI24" s="38">
        <f>BI14+'Model Inputs'!$F$68</f>
        <v>10.260209454491012</v>
      </c>
      <c r="BJ24" s="38">
        <f>BJ14+'Model Inputs'!$F$68</f>
        <v>10.464151755580833</v>
      </c>
      <c r="BK24" s="38">
        <f>BK14+'Model Inputs'!$F$68</f>
        <v>10.672172902692452</v>
      </c>
      <c r="BL24" s="38">
        <f>BL14+'Model Inputs'!$F$68</f>
        <v>10.884354472746299</v>
      </c>
      <c r="BM24" s="38">
        <f>BM14+'Model Inputs'!$F$68</f>
        <v>11.100779674201227</v>
      </c>
      <c r="BN24" s="38">
        <f>BN14+'Model Inputs'!$F$68</f>
        <v>11.321533379685253</v>
      </c>
      <c r="BO24" s="38">
        <f>BO14+'Model Inputs'!$F$68</f>
        <v>11.546702159278958</v>
      </c>
    </row>
    <row r="26" spans="1:67" ht="15" customHeight="1" x14ac:dyDescent="0.2">
      <c r="A26" s="29" t="s">
        <v>281</v>
      </c>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row>
    <row r="27" spans="1:67" ht="15" customHeight="1" x14ac:dyDescent="0.2">
      <c r="A27" s="14" t="s">
        <v>197</v>
      </c>
      <c r="B27" s="61">
        <f t="shared" ref="B27:B35" si="2">SUM(C27:BO27)</f>
        <v>426.99999999999989</v>
      </c>
      <c r="C27" s="62">
        <f>'Model Inputs'!$F$135/'Model Inputs'!$E$147*MIN(1,MAX(0,'Model Inputs'!$E$147-(C$5-1)))</f>
        <v>15.261855187594797</v>
      </c>
      <c r="D27" s="62">
        <f>'Model Inputs'!$F$135/'Model Inputs'!$E$147*MIN(1,MAX(0,'Model Inputs'!$E$147-(D$5-1)))</f>
        <v>15.261855187594797</v>
      </c>
      <c r="E27" s="62">
        <f>'Model Inputs'!$F$135/'Model Inputs'!$E$147*MIN(1,MAX(0,'Model Inputs'!$E$147-(E$5-1)))</f>
        <v>15.261855187594797</v>
      </c>
      <c r="F27" s="62">
        <f>'Model Inputs'!$F$135/'Model Inputs'!$E$147*MIN(1,MAX(0,'Model Inputs'!$E$147-(F$5-1)))</f>
        <v>15.261855187594797</v>
      </c>
      <c r="G27" s="62">
        <f>'Model Inputs'!$F$135/'Model Inputs'!$E$147*MIN(1,MAX(0,'Model Inputs'!$E$147-(G$5-1)))</f>
        <v>15.261855187594797</v>
      </c>
      <c r="H27" s="62">
        <f>'Model Inputs'!$F$135/'Model Inputs'!$E$147*MIN(1,MAX(0,'Model Inputs'!$E$147-(H$5-1)))</f>
        <v>15.261855187594797</v>
      </c>
      <c r="I27" s="62">
        <f>'Model Inputs'!$F$135/'Model Inputs'!$E$147*MIN(1,MAX(0,'Model Inputs'!$E$147-(I$5-1)))</f>
        <v>15.261855187594797</v>
      </c>
      <c r="J27" s="62">
        <f>'Model Inputs'!$F$135/'Model Inputs'!$E$147*MIN(1,MAX(0,'Model Inputs'!$E$147-(J$5-1)))</f>
        <v>15.261855187594797</v>
      </c>
      <c r="K27" s="62">
        <f>'Model Inputs'!$F$135/'Model Inputs'!$E$147*MIN(1,MAX(0,'Model Inputs'!$E$147-(K$5-1)))</f>
        <v>15.261855187594797</v>
      </c>
      <c r="L27" s="62">
        <f>'Model Inputs'!$F$135/'Model Inputs'!$E$147*MIN(1,MAX(0,'Model Inputs'!$E$147-(L$5-1)))</f>
        <v>15.261855187594797</v>
      </c>
      <c r="M27" s="62">
        <f>'Model Inputs'!$F$135/'Model Inputs'!$E$147*MIN(1,MAX(0,'Model Inputs'!$E$147-(M$5-1)))</f>
        <v>15.261855187594797</v>
      </c>
      <c r="N27" s="62">
        <f>'Model Inputs'!$F$135/'Model Inputs'!$E$147*MIN(1,MAX(0,'Model Inputs'!$E$147-(N$5-1)))</f>
        <v>15.261855187594797</v>
      </c>
      <c r="O27" s="62">
        <f>'Model Inputs'!$F$135/'Model Inputs'!$E$147*MIN(1,MAX(0,'Model Inputs'!$E$147-(O$5-1)))</f>
        <v>15.261855187594797</v>
      </c>
      <c r="P27" s="62">
        <f>'Model Inputs'!$F$135/'Model Inputs'!$E$147*MIN(1,MAX(0,'Model Inputs'!$E$147-(P$5-1)))</f>
        <v>15.261855187594797</v>
      </c>
      <c r="Q27" s="62">
        <f>'Model Inputs'!$F$135/'Model Inputs'!$E$147*MIN(1,MAX(0,'Model Inputs'!$E$147-(Q$5-1)))</f>
        <v>15.261855187594797</v>
      </c>
      <c r="R27" s="62">
        <f>'Model Inputs'!$F$135/'Model Inputs'!$E$147*MIN(1,MAX(0,'Model Inputs'!$E$147-(R$5-1)))</f>
        <v>15.261855187594797</v>
      </c>
      <c r="S27" s="62">
        <f>'Model Inputs'!$F$135/'Model Inputs'!$E$147*MIN(1,MAX(0,'Model Inputs'!$E$147-(S$5-1)))</f>
        <v>15.261855187594797</v>
      </c>
      <c r="T27" s="62">
        <f>'Model Inputs'!$F$135/'Model Inputs'!$E$147*MIN(1,MAX(0,'Model Inputs'!$E$147-(T$5-1)))</f>
        <v>15.261855187594797</v>
      </c>
      <c r="U27" s="62">
        <f>'Model Inputs'!$F$135/'Model Inputs'!$E$147*MIN(1,MAX(0,'Model Inputs'!$E$147-(U$5-1)))</f>
        <v>15.261855187594797</v>
      </c>
      <c r="V27" s="62">
        <f>'Model Inputs'!$F$135/'Model Inputs'!$E$147*MIN(1,MAX(0,'Model Inputs'!$E$147-(V$5-1)))</f>
        <v>15.261855187594797</v>
      </c>
      <c r="W27" s="62">
        <f>'Model Inputs'!$F$135/'Model Inputs'!$E$147*MIN(1,MAX(0,'Model Inputs'!$E$147-(W$5-1)))</f>
        <v>15.261855187594797</v>
      </c>
      <c r="X27" s="62">
        <f>'Model Inputs'!$F$135/'Model Inputs'!$E$147*MIN(1,MAX(0,'Model Inputs'!$E$147-(X$5-1)))</f>
        <v>15.261855187594797</v>
      </c>
      <c r="Y27" s="62">
        <f>'Model Inputs'!$F$135/'Model Inputs'!$E$147*MIN(1,MAX(0,'Model Inputs'!$E$147-(Y$5-1)))</f>
        <v>15.261855187594797</v>
      </c>
      <c r="Z27" s="62">
        <f>'Model Inputs'!$F$135/'Model Inputs'!$E$147*MIN(1,MAX(0,'Model Inputs'!$E$147-(Z$5-1)))</f>
        <v>15.261855187594797</v>
      </c>
      <c r="AA27" s="62">
        <f>'Model Inputs'!$F$135/'Model Inputs'!$E$147*MIN(1,MAX(0,'Model Inputs'!$E$147-(AA$5-1)))</f>
        <v>15.261855187594797</v>
      </c>
      <c r="AB27" s="62">
        <f>'Model Inputs'!$F$135/'Model Inputs'!$E$147*MIN(1,MAX(0,'Model Inputs'!$E$147-(AB$5-1)))</f>
        <v>15.261855187594797</v>
      </c>
      <c r="AC27" s="62">
        <f>'Model Inputs'!$F$135/'Model Inputs'!$E$147*MIN(1,MAX(0,'Model Inputs'!$E$147-(AC$5-1)))</f>
        <v>15.261855187594797</v>
      </c>
      <c r="AD27" s="62">
        <f>'Model Inputs'!$F$135/'Model Inputs'!$E$147*MIN(1,MAX(0,'Model Inputs'!$E$147-(AD$5-1)))</f>
        <v>14.929909934940479</v>
      </c>
      <c r="AE27" s="62">
        <f>'Model Inputs'!$F$135/'Model Inputs'!$E$147*MIN(1,MAX(0,'Model Inputs'!$E$147-(AE$5-1)))</f>
        <v>0</v>
      </c>
      <c r="AF27" s="62">
        <f>'Model Inputs'!$F$135/'Model Inputs'!$E$147*MIN(1,MAX(0,'Model Inputs'!$E$147-(AF$5-1)))</f>
        <v>0</v>
      </c>
      <c r="AG27" s="62">
        <f>'Model Inputs'!$F$135/'Model Inputs'!$E$147*MIN(1,MAX(0,'Model Inputs'!$E$147-(AG$5-1)))</f>
        <v>0</v>
      </c>
      <c r="AH27" s="62">
        <f>'Model Inputs'!$F$135/'Model Inputs'!$E$147*MIN(1,MAX(0,'Model Inputs'!$E$147-(AH$5-1)))</f>
        <v>0</v>
      </c>
      <c r="AI27" s="62">
        <f>'Model Inputs'!$F$135/'Model Inputs'!$E$147*MIN(1,MAX(0,'Model Inputs'!$E$147-(AI$5-1)))</f>
        <v>0</v>
      </c>
      <c r="AJ27" s="62">
        <f>'Model Inputs'!$F$135/'Model Inputs'!$E$147*MIN(1,MAX(0,'Model Inputs'!$E$147-(AJ$5-1)))</f>
        <v>0</v>
      </c>
      <c r="AK27" s="62">
        <f>'Model Inputs'!$F$135/'Model Inputs'!$E$147*MIN(1,MAX(0,'Model Inputs'!$E$147-(AK$5-1)))</f>
        <v>0</v>
      </c>
      <c r="AL27" s="62">
        <f>'Model Inputs'!$F$135/'Model Inputs'!$E$147*MIN(1,MAX(0,'Model Inputs'!$E$147-(AL$5-1)))</f>
        <v>0</v>
      </c>
      <c r="AM27" s="62">
        <f>'Model Inputs'!$F$135/'Model Inputs'!$E$147*MIN(1,MAX(0,'Model Inputs'!$E$147-(AM$5-1)))</f>
        <v>0</v>
      </c>
      <c r="AN27" s="62">
        <f>'Model Inputs'!$F$135/'Model Inputs'!$E$147*MIN(1,MAX(0,'Model Inputs'!$E$147-(AN$5-1)))</f>
        <v>0</v>
      </c>
      <c r="AO27" s="62">
        <f>'Model Inputs'!$F$135/'Model Inputs'!$E$147*MIN(1,MAX(0,'Model Inputs'!$E$147-(AO$5-1)))</f>
        <v>0</v>
      </c>
      <c r="AP27" s="62">
        <f>'Model Inputs'!$F$135/'Model Inputs'!$E$147*MIN(1,MAX(0,'Model Inputs'!$E$147-(AP$5-1)))</f>
        <v>0</v>
      </c>
      <c r="AQ27" s="62">
        <f>'Model Inputs'!$F$135/'Model Inputs'!$E$147*MIN(1,MAX(0,'Model Inputs'!$E$147-(AQ$5-1)))</f>
        <v>0</v>
      </c>
      <c r="AR27" s="62">
        <f>'Model Inputs'!$F$135/'Model Inputs'!$E$147*MIN(1,MAX(0,'Model Inputs'!$E$147-(AR$5-1)))</f>
        <v>0</v>
      </c>
      <c r="AS27" s="62">
        <f>'Model Inputs'!$F$135/'Model Inputs'!$E$147*MIN(1,MAX(0,'Model Inputs'!$E$147-(AS$5-1)))</f>
        <v>0</v>
      </c>
      <c r="AT27" s="62">
        <f>'Model Inputs'!$F$135/'Model Inputs'!$E$147*MIN(1,MAX(0,'Model Inputs'!$E$147-(AT$5-1)))</f>
        <v>0</v>
      </c>
      <c r="AU27" s="62">
        <f>'Model Inputs'!$F$135/'Model Inputs'!$E$147*MIN(1,MAX(0,'Model Inputs'!$E$147-(AU$5-1)))</f>
        <v>0</v>
      </c>
      <c r="AV27" s="62">
        <f>'Model Inputs'!$F$135/'Model Inputs'!$E$147*MIN(1,MAX(0,'Model Inputs'!$E$147-(AV$5-1)))</f>
        <v>0</v>
      </c>
      <c r="AW27" s="62">
        <f>'Model Inputs'!$F$135/'Model Inputs'!$E$147*MIN(1,MAX(0,'Model Inputs'!$E$147-(AW$5-1)))</f>
        <v>0</v>
      </c>
      <c r="AX27" s="62">
        <f>'Model Inputs'!$F$135/'Model Inputs'!$E$147*MIN(1,MAX(0,'Model Inputs'!$E$147-(AX$5-1)))</f>
        <v>0</v>
      </c>
      <c r="AY27" s="62">
        <f>'Model Inputs'!$F$135/'Model Inputs'!$E$147*MIN(1,MAX(0,'Model Inputs'!$E$147-(AY$5-1)))</f>
        <v>0</v>
      </c>
      <c r="AZ27" s="62">
        <f>'Model Inputs'!$F$135/'Model Inputs'!$E$147*MIN(1,MAX(0,'Model Inputs'!$E$147-(AZ$5-1)))</f>
        <v>0</v>
      </c>
      <c r="BA27" s="62">
        <f>'Model Inputs'!$F$135/'Model Inputs'!$E$147*MIN(1,MAX(0,'Model Inputs'!$E$147-(BA$5-1)))</f>
        <v>0</v>
      </c>
      <c r="BB27" s="62">
        <f>'Model Inputs'!$F$135/'Model Inputs'!$E$147*MIN(1,MAX(0,'Model Inputs'!$E$147-(BB$5-1)))</f>
        <v>0</v>
      </c>
      <c r="BC27" s="62">
        <f>'Model Inputs'!$F$135/'Model Inputs'!$E$147*MIN(1,MAX(0,'Model Inputs'!$E$147-(BC$5-1)))</f>
        <v>0</v>
      </c>
      <c r="BD27" s="62">
        <f>'Model Inputs'!$F$135/'Model Inputs'!$E$147*MIN(1,MAX(0,'Model Inputs'!$E$147-(BD$5-1)))</f>
        <v>0</v>
      </c>
      <c r="BE27" s="62">
        <f>'Model Inputs'!$F$135/'Model Inputs'!$E$147*MIN(1,MAX(0,'Model Inputs'!$E$147-(BE$5-1)))</f>
        <v>0</v>
      </c>
      <c r="BF27" s="62">
        <f>'Model Inputs'!$F$135/'Model Inputs'!$E$147*MIN(1,MAX(0,'Model Inputs'!$E$147-(BF$5-1)))</f>
        <v>0</v>
      </c>
      <c r="BG27" s="62">
        <f>'Model Inputs'!$F$135/'Model Inputs'!$E$147*MIN(1,MAX(0,'Model Inputs'!$E$147-(BG$5-1)))</f>
        <v>0</v>
      </c>
      <c r="BH27" s="62">
        <f>'Model Inputs'!$F$135/'Model Inputs'!$E$147*MIN(1,MAX(0,'Model Inputs'!$E$147-(BH$5-1)))</f>
        <v>0</v>
      </c>
      <c r="BI27" s="62">
        <f>'Model Inputs'!$F$135/'Model Inputs'!$E$147*MIN(1,MAX(0,'Model Inputs'!$E$147-(BI$5-1)))</f>
        <v>0</v>
      </c>
      <c r="BJ27" s="62">
        <f>'Model Inputs'!$F$135/'Model Inputs'!$E$147*MIN(1,MAX(0,'Model Inputs'!$E$147-(BJ$5-1)))</f>
        <v>0</v>
      </c>
      <c r="BK27" s="62">
        <f>'Model Inputs'!$F$135/'Model Inputs'!$E$147*MIN(1,MAX(0,'Model Inputs'!$E$147-(BK$5-1)))</f>
        <v>0</v>
      </c>
      <c r="BL27" s="62">
        <f>'Model Inputs'!$F$135/'Model Inputs'!$E$147*MIN(1,MAX(0,'Model Inputs'!$E$147-(BL$5-1)))</f>
        <v>0</v>
      </c>
      <c r="BM27" s="62">
        <f>'Model Inputs'!$F$135/'Model Inputs'!$E$147*MIN(1,MAX(0,'Model Inputs'!$E$147-(BM$5-1)))</f>
        <v>0</v>
      </c>
      <c r="BN27" s="62">
        <f>'Model Inputs'!$F$135/'Model Inputs'!$E$147*MIN(1,MAX(0,'Model Inputs'!$E$147-(BN$5-1)))</f>
        <v>0</v>
      </c>
      <c r="BO27" s="62">
        <f>'Model Inputs'!$F$135/'Model Inputs'!$E$147*MIN(1,MAX(0,'Model Inputs'!$E$147-(BO$5-1)))</f>
        <v>0</v>
      </c>
    </row>
    <row r="28" spans="1:67" ht="15" customHeight="1" x14ac:dyDescent="0.2">
      <c r="A28" s="14" t="s">
        <v>198</v>
      </c>
      <c r="B28" s="61">
        <f t="shared" si="2"/>
        <v>333</v>
      </c>
      <c r="C28" s="62">
        <f>'Model Inputs'!$F$136/'Model Inputs'!$E$147*MIN(1,MAX(0,'Model Inputs'!$E$147-(C$5-1)))</f>
        <v>11.902102523346763</v>
      </c>
      <c r="D28" s="62">
        <f>'Model Inputs'!$F$136/'Model Inputs'!$E$147*MIN(1,MAX(0,'Model Inputs'!$E$147-(D$5-1)))</f>
        <v>11.902102523346763</v>
      </c>
      <c r="E28" s="62">
        <f>'Model Inputs'!$F$136/'Model Inputs'!$E$147*MIN(1,MAX(0,'Model Inputs'!$E$147-(E$5-1)))</f>
        <v>11.902102523346763</v>
      </c>
      <c r="F28" s="62">
        <f>'Model Inputs'!$F$136/'Model Inputs'!$E$147*MIN(1,MAX(0,'Model Inputs'!$E$147-(F$5-1)))</f>
        <v>11.902102523346763</v>
      </c>
      <c r="G28" s="62">
        <f>'Model Inputs'!$F$136/'Model Inputs'!$E$147*MIN(1,MAX(0,'Model Inputs'!$E$147-(G$5-1)))</f>
        <v>11.902102523346763</v>
      </c>
      <c r="H28" s="62">
        <f>'Model Inputs'!$F$136/'Model Inputs'!$E$147*MIN(1,MAX(0,'Model Inputs'!$E$147-(H$5-1)))</f>
        <v>11.902102523346763</v>
      </c>
      <c r="I28" s="62">
        <f>'Model Inputs'!$F$136/'Model Inputs'!$E$147*MIN(1,MAX(0,'Model Inputs'!$E$147-(I$5-1)))</f>
        <v>11.902102523346763</v>
      </c>
      <c r="J28" s="62">
        <f>'Model Inputs'!$F$136/'Model Inputs'!$E$147*MIN(1,MAX(0,'Model Inputs'!$E$147-(J$5-1)))</f>
        <v>11.902102523346763</v>
      </c>
      <c r="K28" s="62">
        <f>'Model Inputs'!$F$136/'Model Inputs'!$E$147*MIN(1,MAX(0,'Model Inputs'!$E$147-(K$5-1)))</f>
        <v>11.902102523346763</v>
      </c>
      <c r="L28" s="62">
        <f>'Model Inputs'!$F$136/'Model Inputs'!$E$147*MIN(1,MAX(0,'Model Inputs'!$E$147-(L$5-1)))</f>
        <v>11.902102523346763</v>
      </c>
      <c r="M28" s="62">
        <f>'Model Inputs'!$F$136/'Model Inputs'!$E$147*MIN(1,MAX(0,'Model Inputs'!$E$147-(M$5-1)))</f>
        <v>11.902102523346763</v>
      </c>
      <c r="N28" s="62">
        <f>'Model Inputs'!$F$136/'Model Inputs'!$E$147*MIN(1,MAX(0,'Model Inputs'!$E$147-(N$5-1)))</f>
        <v>11.902102523346763</v>
      </c>
      <c r="O28" s="62">
        <f>'Model Inputs'!$F$136/'Model Inputs'!$E$147*MIN(1,MAX(0,'Model Inputs'!$E$147-(O$5-1)))</f>
        <v>11.902102523346763</v>
      </c>
      <c r="P28" s="62">
        <f>'Model Inputs'!$F$136/'Model Inputs'!$E$147*MIN(1,MAX(0,'Model Inputs'!$E$147-(P$5-1)))</f>
        <v>11.902102523346763</v>
      </c>
      <c r="Q28" s="62">
        <f>'Model Inputs'!$F$136/'Model Inputs'!$E$147*MIN(1,MAX(0,'Model Inputs'!$E$147-(Q$5-1)))</f>
        <v>11.902102523346763</v>
      </c>
      <c r="R28" s="62">
        <f>'Model Inputs'!$F$136/'Model Inputs'!$E$147*MIN(1,MAX(0,'Model Inputs'!$E$147-(R$5-1)))</f>
        <v>11.902102523346763</v>
      </c>
      <c r="S28" s="62">
        <f>'Model Inputs'!$F$136/'Model Inputs'!$E$147*MIN(1,MAX(0,'Model Inputs'!$E$147-(S$5-1)))</f>
        <v>11.902102523346763</v>
      </c>
      <c r="T28" s="62">
        <f>'Model Inputs'!$F$136/'Model Inputs'!$E$147*MIN(1,MAX(0,'Model Inputs'!$E$147-(T$5-1)))</f>
        <v>11.902102523346763</v>
      </c>
      <c r="U28" s="62">
        <f>'Model Inputs'!$F$136/'Model Inputs'!$E$147*MIN(1,MAX(0,'Model Inputs'!$E$147-(U$5-1)))</f>
        <v>11.902102523346763</v>
      </c>
      <c r="V28" s="62">
        <f>'Model Inputs'!$F$136/'Model Inputs'!$E$147*MIN(1,MAX(0,'Model Inputs'!$E$147-(V$5-1)))</f>
        <v>11.902102523346763</v>
      </c>
      <c r="W28" s="62">
        <f>'Model Inputs'!$F$136/'Model Inputs'!$E$147*MIN(1,MAX(0,'Model Inputs'!$E$147-(W$5-1)))</f>
        <v>11.902102523346763</v>
      </c>
      <c r="X28" s="62">
        <f>'Model Inputs'!$F$136/'Model Inputs'!$E$147*MIN(1,MAX(0,'Model Inputs'!$E$147-(X$5-1)))</f>
        <v>11.902102523346763</v>
      </c>
      <c r="Y28" s="62">
        <f>'Model Inputs'!$F$136/'Model Inputs'!$E$147*MIN(1,MAX(0,'Model Inputs'!$E$147-(Y$5-1)))</f>
        <v>11.902102523346763</v>
      </c>
      <c r="Z28" s="62">
        <f>'Model Inputs'!$F$136/'Model Inputs'!$E$147*MIN(1,MAX(0,'Model Inputs'!$E$147-(Z$5-1)))</f>
        <v>11.902102523346763</v>
      </c>
      <c r="AA28" s="62">
        <f>'Model Inputs'!$F$136/'Model Inputs'!$E$147*MIN(1,MAX(0,'Model Inputs'!$E$147-(AA$5-1)))</f>
        <v>11.902102523346763</v>
      </c>
      <c r="AB28" s="62">
        <f>'Model Inputs'!$F$136/'Model Inputs'!$E$147*MIN(1,MAX(0,'Model Inputs'!$E$147-(AB$5-1)))</f>
        <v>11.902102523346763</v>
      </c>
      <c r="AC28" s="62">
        <f>'Model Inputs'!$F$136/'Model Inputs'!$E$147*MIN(1,MAX(0,'Model Inputs'!$E$147-(AC$5-1)))</f>
        <v>11.902102523346763</v>
      </c>
      <c r="AD28" s="62">
        <f>'Model Inputs'!$F$136/'Model Inputs'!$E$147*MIN(1,MAX(0,'Model Inputs'!$E$147-(AD$5-1)))</f>
        <v>11.643231869637424</v>
      </c>
      <c r="AE28" s="62">
        <f>'Model Inputs'!$F$136/'Model Inputs'!$E$147*MIN(1,MAX(0,'Model Inputs'!$E$147-(AE$5-1)))</f>
        <v>0</v>
      </c>
      <c r="AF28" s="62">
        <f>'Model Inputs'!$F$136/'Model Inputs'!$E$147*MIN(1,MAX(0,'Model Inputs'!$E$147-(AF$5-1)))</f>
        <v>0</v>
      </c>
      <c r="AG28" s="62">
        <f>'Model Inputs'!$F$136/'Model Inputs'!$E$147*MIN(1,MAX(0,'Model Inputs'!$E$147-(AG$5-1)))</f>
        <v>0</v>
      </c>
      <c r="AH28" s="62">
        <f>'Model Inputs'!$F$136/'Model Inputs'!$E$147*MIN(1,MAX(0,'Model Inputs'!$E$147-(AH$5-1)))</f>
        <v>0</v>
      </c>
      <c r="AI28" s="62">
        <f>'Model Inputs'!$F$136/'Model Inputs'!$E$147*MIN(1,MAX(0,'Model Inputs'!$E$147-(AI$5-1)))</f>
        <v>0</v>
      </c>
      <c r="AJ28" s="62">
        <f>'Model Inputs'!$F$136/'Model Inputs'!$E$147*MIN(1,MAX(0,'Model Inputs'!$E$147-(AJ$5-1)))</f>
        <v>0</v>
      </c>
      <c r="AK28" s="62">
        <f>'Model Inputs'!$F$136/'Model Inputs'!$E$147*MIN(1,MAX(0,'Model Inputs'!$E$147-(AK$5-1)))</f>
        <v>0</v>
      </c>
      <c r="AL28" s="62">
        <f>'Model Inputs'!$F$136/'Model Inputs'!$E$147*MIN(1,MAX(0,'Model Inputs'!$E$147-(AL$5-1)))</f>
        <v>0</v>
      </c>
      <c r="AM28" s="62">
        <f>'Model Inputs'!$F$136/'Model Inputs'!$E$147*MIN(1,MAX(0,'Model Inputs'!$E$147-(AM$5-1)))</f>
        <v>0</v>
      </c>
      <c r="AN28" s="62">
        <f>'Model Inputs'!$F$136/'Model Inputs'!$E$147*MIN(1,MAX(0,'Model Inputs'!$E$147-(AN$5-1)))</f>
        <v>0</v>
      </c>
      <c r="AO28" s="62">
        <f>'Model Inputs'!$F$136/'Model Inputs'!$E$147*MIN(1,MAX(0,'Model Inputs'!$E$147-(AO$5-1)))</f>
        <v>0</v>
      </c>
      <c r="AP28" s="62">
        <f>'Model Inputs'!$F$136/'Model Inputs'!$E$147*MIN(1,MAX(0,'Model Inputs'!$E$147-(AP$5-1)))</f>
        <v>0</v>
      </c>
      <c r="AQ28" s="62">
        <f>'Model Inputs'!$F$136/'Model Inputs'!$E$147*MIN(1,MAX(0,'Model Inputs'!$E$147-(AQ$5-1)))</f>
        <v>0</v>
      </c>
      <c r="AR28" s="62">
        <f>'Model Inputs'!$F$136/'Model Inputs'!$E$147*MIN(1,MAX(0,'Model Inputs'!$E$147-(AR$5-1)))</f>
        <v>0</v>
      </c>
      <c r="AS28" s="62">
        <f>'Model Inputs'!$F$136/'Model Inputs'!$E$147*MIN(1,MAX(0,'Model Inputs'!$E$147-(AS$5-1)))</f>
        <v>0</v>
      </c>
      <c r="AT28" s="62">
        <f>'Model Inputs'!$F$136/'Model Inputs'!$E$147*MIN(1,MAX(0,'Model Inputs'!$E$147-(AT$5-1)))</f>
        <v>0</v>
      </c>
      <c r="AU28" s="62">
        <f>'Model Inputs'!$F$136/'Model Inputs'!$E$147*MIN(1,MAX(0,'Model Inputs'!$E$147-(AU$5-1)))</f>
        <v>0</v>
      </c>
      <c r="AV28" s="62">
        <f>'Model Inputs'!$F$136/'Model Inputs'!$E$147*MIN(1,MAX(0,'Model Inputs'!$E$147-(AV$5-1)))</f>
        <v>0</v>
      </c>
      <c r="AW28" s="62">
        <f>'Model Inputs'!$F$136/'Model Inputs'!$E$147*MIN(1,MAX(0,'Model Inputs'!$E$147-(AW$5-1)))</f>
        <v>0</v>
      </c>
      <c r="AX28" s="62">
        <f>'Model Inputs'!$F$136/'Model Inputs'!$E$147*MIN(1,MAX(0,'Model Inputs'!$E$147-(AX$5-1)))</f>
        <v>0</v>
      </c>
      <c r="AY28" s="62">
        <f>'Model Inputs'!$F$136/'Model Inputs'!$E$147*MIN(1,MAX(0,'Model Inputs'!$E$147-(AY$5-1)))</f>
        <v>0</v>
      </c>
      <c r="AZ28" s="62">
        <f>'Model Inputs'!$F$136/'Model Inputs'!$E$147*MIN(1,MAX(0,'Model Inputs'!$E$147-(AZ$5-1)))</f>
        <v>0</v>
      </c>
      <c r="BA28" s="62">
        <f>'Model Inputs'!$F$136/'Model Inputs'!$E$147*MIN(1,MAX(0,'Model Inputs'!$E$147-(BA$5-1)))</f>
        <v>0</v>
      </c>
      <c r="BB28" s="62">
        <f>'Model Inputs'!$F$136/'Model Inputs'!$E$147*MIN(1,MAX(0,'Model Inputs'!$E$147-(BB$5-1)))</f>
        <v>0</v>
      </c>
      <c r="BC28" s="62">
        <f>'Model Inputs'!$F$136/'Model Inputs'!$E$147*MIN(1,MAX(0,'Model Inputs'!$E$147-(BC$5-1)))</f>
        <v>0</v>
      </c>
      <c r="BD28" s="62">
        <f>'Model Inputs'!$F$136/'Model Inputs'!$E$147*MIN(1,MAX(0,'Model Inputs'!$E$147-(BD$5-1)))</f>
        <v>0</v>
      </c>
      <c r="BE28" s="62">
        <f>'Model Inputs'!$F$136/'Model Inputs'!$E$147*MIN(1,MAX(0,'Model Inputs'!$E$147-(BE$5-1)))</f>
        <v>0</v>
      </c>
      <c r="BF28" s="62">
        <f>'Model Inputs'!$F$136/'Model Inputs'!$E$147*MIN(1,MAX(0,'Model Inputs'!$E$147-(BF$5-1)))</f>
        <v>0</v>
      </c>
      <c r="BG28" s="62">
        <f>'Model Inputs'!$F$136/'Model Inputs'!$E$147*MIN(1,MAX(0,'Model Inputs'!$E$147-(BG$5-1)))</f>
        <v>0</v>
      </c>
      <c r="BH28" s="62">
        <f>'Model Inputs'!$F$136/'Model Inputs'!$E$147*MIN(1,MAX(0,'Model Inputs'!$E$147-(BH$5-1)))</f>
        <v>0</v>
      </c>
      <c r="BI28" s="62">
        <f>'Model Inputs'!$F$136/'Model Inputs'!$E$147*MIN(1,MAX(0,'Model Inputs'!$E$147-(BI$5-1)))</f>
        <v>0</v>
      </c>
      <c r="BJ28" s="62">
        <f>'Model Inputs'!$F$136/'Model Inputs'!$E$147*MIN(1,MAX(0,'Model Inputs'!$E$147-(BJ$5-1)))</f>
        <v>0</v>
      </c>
      <c r="BK28" s="62">
        <f>'Model Inputs'!$F$136/'Model Inputs'!$E$147*MIN(1,MAX(0,'Model Inputs'!$E$147-(BK$5-1)))</f>
        <v>0</v>
      </c>
      <c r="BL28" s="62">
        <f>'Model Inputs'!$F$136/'Model Inputs'!$E$147*MIN(1,MAX(0,'Model Inputs'!$E$147-(BL$5-1)))</f>
        <v>0</v>
      </c>
      <c r="BM28" s="62">
        <f>'Model Inputs'!$F$136/'Model Inputs'!$E$147*MIN(1,MAX(0,'Model Inputs'!$E$147-(BM$5-1)))</f>
        <v>0</v>
      </c>
      <c r="BN28" s="62">
        <f>'Model Inputs'!$F$136/'Model Inputs'!$E$147*MIN(1,MAX(0,'Model Inputs'!$E$147-(BN$5-1)))</f>
        <v>0</v>
      </c>
      <c r="BO28" s="62">
        <f>'Model Inputs'!$F$136/'Model Inputs'!$E$147*MIN(1,MAX(0,'Model Inputs'!$E$147-(BO$5-1)))</f>
        <v>0</v>
      </c>
    </row>
    <row r="29" spans="1:67" ht="15" customHeight="1" x14ac:dyDescent="0.2">
      <c r="A29" s="14" t="s">
        <v>199</v>
      </c>
      <c r="B29" s="61">
        <f t="shared" si="2"/>
        <v>348.99999999999977</v>
      </c>
      <c r="C29" s="62">
        <f>'Model Inputs'!$F$137/'Model Inputs'!$E$147*MIN(1,MAX(0,'Model Inputs'!$E$147-(C$5-1)))</f>
        <v>12.473975317261321</v>
      </c>
      <c r="D29" s="62">
        <f>'Model Inputs'!$F$137/'Model Inputs'!$E$147*MIN(1,MAX(0,'Model Inputs'!$E$147-(D$5-1)))</f>
        <v>12.473975317261321</v>
      </c>
      <c r="E29" s="62">
        <f>'Model Inputs'!$F$137/'Model Inputs'!$E$147*MIN(1,MAX(0,'Model Inputs'!$E$147-(E$5-1)))</f>
        <v>12.473975317261321</v>
      </c>
      <c r="F29" s="62">
        <f>'Model Inputs'!$F$137/'Model Inputs'!$E$147*MIN(1,MAX(0,'Model Inputs'!$E$147-(F$5-1)))</f>
        <v>12.473975317261321</v>
      </c>
      <c r="G29" s="62">
        <f>'Model Inputs'!$F$137/'Model Inputs'!$E$147*MIN(1,MAX(0,'Model Inputs'!$E$147-(G$5-1)))</f>
        <v>12.473975317261321</v>
      </c>
      <c r="H29" s="62">
        <f>'Model Inputs'!$F$137/'Model Inputs'!$E$147*MIN(1,MAX(0,'Model Inputs'!$E$147-(H$5-1)))</f>
        <v>12.473975317261321</v>
      </c>
      <c r="I29" s="62">
        <f>'Model Inputs'!$F$137/'Model Inputs'!$E$147*MIN(1,MAX(0,'Model Inputs'!$E$147-(I$5-1)))</f>
        <v>12.473975317261321</v>
      </c>
      <c r="J29" s="62">
        <f>'Model Inputs'!$F$137/'Model Inputs'!$E$147*MIN(1,MAX(0,'Model Inputs'!$E$147-(J$5-1)))</f>
        <v>12.473975317261321</v>
      </c>
      <c r="K29" s="62">
        <f>'Model Inputs'!$F$137/'Model Inputs'!$E$147*MIN(1,MAX(0,'Model Inputs'!$E$147-(K$5-1)))</f>
        <v>12.473975317261321</v>
      </c>
      <c r="L29" s="62">
        <f>'Model Inputs'!$F$137/'Model Inputs'!$E$147*MIN(1,MAX(0,'Model Inputs'!$E$147-(L$5-1)))</f>
        <v>12.473975317261321</v>
      </c>
      <c r="M29" s="62">
        <f>'Model Inputs'!$F$137/'Model Inputs'!$E$147*MIN(1,MAX(0,'Model Inputs'!$E$147-(M$5-1)))</f>
        <v>12.473975317261321</v>
      </c>
      <c r="N29" s="62">
        <f>'Model Inputs'!$F$137/'Model Inputs'!$E$147*MIN(1,MAX(0,'Model Inputs'!$E$147-(N$5-1)))</f>
        <v>12.473975317261321</v>
      </c>
      <c r="O29" s="62">
        <f>'Model Inputs'!$F$137/'Model Inputs'!$E$147*MIN(1,MAX(0,'Model Inputs'!$E$147-(O$5-1)))</f>
        <v>12.473975317261321</v>
      </c>
      <c r="P29" s="62">
        <f>'Model Inputs'!$F$137/'Model Inputs'!$E$147*MIN(1,MAX(0,'Model Inputs'!$E$147-(P$5-1)))</f>
        <v>12.473975317261321</v>
      </c>
      <c r="Q29" s="62">
        <f>'Model Inputs'!$F$137/'Model Inputs'!$E$147*MIN(1,MAX(0,'Model Inputs'!$E$147-(Q$5-1)))</f>
        <v>12.473975317261321</v>
      </c>
      <c r="R29" s="62">
        <f>'Model Inputs'!$F$137/'Model Inputs'!$E$147*MIN(1,MAX(0,'Model Inputs'!$E$147-(R$5-1)))</f>
        <v>12.473975317261321</v>
      </c>
      <c r="S29" s="62">
        <f>'Model Inputs'!$F$137/'Model Inputs'!$E$147*MIN(1,MAX(0,'Model Inputs'!$E$147-(S$5-1)))</f>
        <v>12.473975317261321</v>
      </c>
      <c r="T29" s="62">
        <f>'Model Inputs'!$F$137/'Model Inputs'!$E$147*MIN(1,MAX(0,'Model Inputs'!$E$147-(T$5-1)))</f>
        <v>12.473975317261321</v>
      </c>
      <c r="U29" s="62">
        <f>'Model Inputs'!$F$137/'Model Inputs'!$E$147*MIN(1,MAX(0,'Model Inputs'!$E$147-(U$5-1)))</f>
        <v>12.473975317261321</v>
      </c>
      <c r="V29" s="62">
        <f>'Model Inputs'!$F$137/'Model Inputs'!$E$147*MIN(1,MAX(0,'Model Inputs'!$E$147-(V$5-1)))</f>
        <v>12.473975317261321</v>
      </c>
      <c r="W29" s="62">
        <f>'Model Inputs'!$F$137/'Model Inputs'!$E$147*MIN(1,MAX(0,'Model Inputs'!$E$147-(W$5-1)))</f>
        <v>12.473975317261321</v>
      </c>
      <c r="X29" s="62">
        <f>'Model Inputs'!$F$137/'Model Inputs'!$E$147*MIN(1,MAX(0,'Model Inputs'!$E$147-(X$5-1)))</f>
        <v>12.473975317261321</v>
      </c>
      <c r="Y29" s="62">
        <f>'Model Inputs'!$F$137/'Model Inputs'!$E$147*MIN(1,MAX(0,'Model Inputs'!$E$147-(Y$5-1)))</f>
        <v>12.473975317261321</v>
      </c>
      <c r="Z29" s="62">
        <f>'Model Inputs'!$F$137/'Model Inputs'!$E$147*MIN(1,MAX(0,'Model Inputs'!$E$147-(Z$5-1)))</f>
        <v>12.473975317261321</v>
      </c>
      <c r="AA29" s="62">
        <f>'Model Inputs'!$F$137/'Model Inputs'!$E$147*MIN(1,MAX(0,'Model Inputs'!$E$147-(AA$5-1)))</f>
        <v>12.473975317261321</v>
      </c>
      <c r="AB29" s="62">
        <f>'Model Inputs'!$F$137/'Model Inputs'!$E$147*MIN(1,MAX(0,'Model Inputs'!$E$147-(AB$5-1)))</f>
        <v>12.473975317261321</v>
      </c>
      <c r="AC29" s="62">
        <f>'Model Inputs'!$F$137/'Model Inputs'!$E$147*MIN(1,MAX(0,'Model Inputs'!$E$147-(AC$5-1)))</f>
        <v>12.473975317261321</v>
      </c>
      <c r="AD29" s="62">
        <f>'Model Inputs'!$F$137/'Model Inputs'!$E$147*MIN(1,MAX(0,'Model Inputs'!$E$147-(AD$5-1)))</f>
        <v>12.202666433944325</v>
      </c>
      <c r="AE29" s="62">
        <f>'Model Inputs'!$F$137/'Model Inputs'!$E$147*MIN(1,MAX(0,'Model Inputs'!$E$147-(AE$5-1)))</f>
        <v>0</v>
      </c>
      <c r="AF29" s="62">
        <f>'Model Inputs'!$F$137/'Model Inputs'!$E$147*MIN(1,MAX(0,'Model Inputs'!$E$147-(AF$5-1)))</f>
        <v>0</v>
      </c>
      <c r="AG29" s="62">
        <f>'Model Inputs'!$F$137/'Model Inputs'!$E$147*MIN(1,MAX(0,'Model Inputs'!$E$147-(AG$5-1)))</f>
        <v>0</v>
      </c>
      <c r="AH29" s="62">
        <f>'Model Inputs'!$F$137/'Model Inputs'!$E$147*MIN(1,MAX(0,'Model Inputs'!$E$147-(AH$5-1)))</f>
        <v>0</v>
      </c>
      <c r="AI29" s="62">
        <f>'Model Inputs'!$F$137/'Model Inputs'!$E$147*MIN(1,MAX(0,'Model Inputs'!$E$147-(AI$5-1)))</f>
        <v>0</v>
      </c>
      <c r="AJ29" s="62">
        <f>'Model Inputs'!$F$137/'Model Inputs'!$E$147*MIN(1,MAX(0,'Model Inputs'!$E$147-(AJ$5-1)))</f>
        <v>0</v>
      </c>
      <c r="AK29" s="62">
        <f>'Model Inputs'!$F$137/'Model Inputs'!$E$147*MIN(1,MAX(0,'Model Inputs'!$E$147-(AK$5-1)))</f>
        <v>0</v>
      </c>
      <c r="AL29" s="62">
        <f>'Model Inputs'!$F$137/'Model Inputs'!$E$147*MIN(1,MAX(0,'Model Inputs'!$E$147-(AL$5-1)))</f>
        <v>0</v>
      </c>
      <c r="AM29" s="62">
        <f>'Model Inputs'!$F$137/'Model Inputs'!$E$147*MIN(1,MAX(0,'Model Inputs'!$E$147-(AM$5-1)))</f>
        <v>0</v>
      </c>
      <c r="AN29" s="62">
        <f>'Model Inputs'!$F$137/'Model Inputs'!$E$147*MIN(1,MAX(0,'Model Inputs'!$E$147-(AN$5-1)))</f>
        <v>0</v>
      </c>
      <c r="AO29" s="62">
        <f>'Model Inputs'!$F$137/'Model Inputs'!$E$147*MIN(1,MAX(0,'Model Inputs'!$E$147-(AO$5-1)))</f>
        <v>0</v>
      </c>
      <c r="AP29" s="62">
        <f>'Model Inputs'!$F$137/'Model Inputs'!$E$147*MIN(1,MAX(0,'Model Inputs'!$E$147-(AP$5-1)))</f>
        <v>0</v>
      </c>
      <c r="AQ29" s="62">
        <f>'Model Inputs'!$F$137/'Model Inputs'!$E$147*MIN(1,MAX(0,'Model Inputs'!$E$147-(AQ$5-1)))</f>
        <v>0</v>
      </c>
      <c r="AR29" s="62">
        <f>'Model Inputs'!$F$137/'Model Inputs'!$E$147*MIN(1,MAX(0,'Model Inputs'!$E$147-(AR$5-1)))</f>
        <v>0</v>
      </c>
      <c r="AS29" s="62">
        <f>'Model Inputs'!$F$137/'Model Inputs'!$E$147*MIN(1,MAX(0,'Model Inputs'!$E$147-(AS$5-1)))</f>
        <v>0</v>
      </c>
      <c r="AT29" s="62">
        <f>'Model Inputs'!$F$137/'Model Inputs'!$E$147*MIN(1,MAX(0,'Model Inputs'!$E$147-(AT$5-1)))</f>
        <v>0</v>
      </c>
      <c r="AU29" s="62">
        <f>'Model Inputs'!$F$137/'Model Inputs'!$E$147*MIN(1,MAX(0,'Model Inputs'!$E$147-(AU$5-1)))</f>
        <v>0</v>
      </c>
      <c r="AV29" s="62">
        <f>'Model Inputs'!$F$137/'Model Inputs'!$E$147*MIN(1,MAX(0,'Model Inputs'!$E$147-(AV$5-1)))</f>
        <v>0</v>
      </c>
      <c r="AW29" s="62">
        <f>'Model Inputs'!$F$137/'Model Inputs'!$E$147*MIN(1,MAX(0,'Model Inputs'!$E$147-(AW$5-1)))</f>
        <v>0</v>
      </c>
      <c r="AX29" s="62">
        <f>'Model Inputs'!$F$137/'Model Inputs'!$E$147*MIN(1,MAX(0,'Model Inputs'!$E$147-(AX$5-1)))</f>
        <v>0</v>
      </c>
      <c r="AY29" s="62">
        <f>'Model Inputs'!$F$137/'Model Inputs'!$E$147*MIN(1,MAX(0,'Model Inputs'!$E$147-(AY$5-1)))</f>
        <v>0</v>
      </c>
      <c r="AZ29" s="62">
        <f>'Model Inputs'!$F$137/'Model Inputs'!$E$147*MIN(1,MAX(0,'Model Inputs'!$E$147-(AZ$5-1)))</f>
        <v>0</v>
      </c>
      <c r="BA29" s="62">
        <f>'Model Inputs'!$F$137/'Model Inputs'!$E$147*MIN(1,MAX(0,'Model Inputs'!$E$147-(BA$5-1)))</f>
        <v>0</v>
      </c>
      <c r="BB29" s="62">
        <f>'Model Inputs'!$F$137/'Model Inputs'!$E$147*MIN(1,MAX(0,'Model Inputs'!$E$147-(BB$5-1)))</f>
        <v>0</v>
      </c>
      <c r="BC29" s="62">
        <f>'Model Inputs'!$F$137/'Model Inputs'!$E$147*MIN(1,MAX(0,'Model Inputs'!$E$147-(BC$5-1)))</f>
        <v>0</v>
      </c>
      <c r="BD29" s="62">
        <f>'Model Inputs'!$F$137/'Model Inputs'!$E$147*MIN(1,MAX(0,'Model Inputs'!$E$147-(BD$5-1)))</f>
        <v>0</v>
      </c>
      <c r="BE29" s="62">
        <f>'Model Inputs'!$F$137/'Model Inputs'!$E$147*MIN(1,MAX(0,'Model Inputs'!$E$147-(BE$5-1)))</f>
        <v>0</v>
      </c>
      <c r="BF29" s="62">
        <f>'Model Inputs'!$F$137/'Model Inputs'!$E$147*MIN(1,MAX(0,'Model Inputs'!$E$147-(BF$5-1)))</f>
        <v>0</v>
      </c>
      <c r="BG29" s="62">
        <f>'Model Inputs'!$F$137/'Model Inputs'!$E$147*MIN(1,MAX(0,'Model Inputs'!$E$147-(BG$5-1)))</f>
        <v>0</v>
      </c>
      <c r="BH29" s="62">
        <f>'Model Inputs'!$F$137/'Model Inputs'!$E$147*MIN(1,MAX(0,'Model Inputs'!$E$147-(BH$5-1)))</f>
        <v>0</v>
      </c>
      <c r="BI29" s="62">
        <f>'Model Inputs'!$F$137/'Model Inputs'!$E$147*MIN(1,MAX(0,'Model Inputs'!$E$147-(BI$5-1)))</f>
        <v>0</v>
      </c>
      <c r="BJ29" s="62">
        <f>'Model Inputs'!$F$137/'Model Inputs'!$E$147*MIN(1,MAX(0,'Model Inputs'!$E$147-(BJ$5-1)))</f>
        <v>0</v>
      </c>
      <c r="BK29" s="62">
        <f>'Model Inputs'!$F$137/'Model Inputs'!$E$147*MIN(1,MAX(0,'Model Inputs'!$E$147-(BK$5-1)))</f>
        <v>0</v>
      </c>
      <c r="BL29" s="62">
        <f>'Model Inputs'!$F$137/'Model Inputs'!$E$147*MIN(1,MAX(0,'Model Inputs'!$E$147-(BL$5-1)))</f>
        <v>0</v>
      </c>
      <c r="BM29" s="62">
        <f>'Model Inputs'!$F$137/'Model Inputs'!$E$147*MIN(1,MAX(0,'Model Inputs'!$E$147-(BM$5-1)))</f>
        <v>0</v>
      </c>
      <c r="BN29" s="62">
        <f>'Model Inputs'!$F$137/'Model Inputs'!$E$147*MIN(1,MAX(0,'Model Inputs'!$E$147-(BN$5-1)))</f>
        <v>0</v>
      </c>
      <c r="BO29" s="62">
        <f>'Model Inputs'!$F$137/'Model Inputs'!$E$147*MIN(1,MAX(0,'Model Inputs'!$E$147-(BO$5-1)))</f>
        <v>0</v>
      </c>
    </row>
    <row r="30" spans="1:67" ht="15" customHeight="1" x14ac:dyDescent="0.2">
      <c r="A30" s="14" t="s">
        <v>200</v>
      </c>
      <c r="B30" s="61">
        <f t="shared" si="2"/>
        <v>5174.9999999999982</v>
      </c>
      <c r="C30" s="62">
        <f>'Model Inputs'!$F$138/'Model Inputs'!$E$148*MIN(1,MAX(0,'Model Inputs'!$E$148-(C$5-1)))</f>
        <v>105.69434673242299</v>
      </c>
      <c r="D30" s="62">
        <f>'Model Inputs'!$F$138/'Model Inputs'!$E$148*MIN(1,MAX(0,'Model Inputs'!$E$148-(D$5-1)))</f>
        <v>105.69434673242299</v>
      </c>
      <c r="E30" s="62">
        <f>'Model Inputs'!$F$138/'Model Inputs'!$E$148*MIN(1,MAX(0,'Model Inputs'!$E$148-(E$5-1)))</f>
        <v>105.69434673242299</v>
      </c>
      <c r="F30" s="62">
        <f>'Model Inputs'!$F$138/'Model Inputs'!$E$148*MIN(1,MAX(0,'Model Inputs'!$E$148-(F$5-1)))</f>
        <v>105.69434673242299</v>
      </c>
      <c r="G30" s="62">
        <f>'Model Inputs'!$F$138/'Model Inputs'!$E$148*MIN(1,MAX(0,'Model Inputs'!$E$148-(G$5-1)))</f>
        <v>105.69434673242299</v>
      </c>
      <c r="H30" s="62">
        <f>'Model Inputs'!$F$138/'Model Inputs'!$E$148*MIN(1,MAX(0,'Model Inputs'!$E$148-(H$5-1)))</f>
        <v>105.69434673242299</v>
      </c>
      <c r="I30" s="62">
        <f>'Model Inputs'!$F$138/'Model Inputs'!$E$148*MIN(1,MAX(0,'Model Inputs'!$E$148-(I$5-1)))</f>
        <v>105.69434673242299</v>
      </c>
      <c r="J30" s="62">
        <f>'Model Inputs'!$F$138/'Model Inputs'!$E$148*MIN(1,MAX(0,'Model Inputs'!$E$148-(J$5-1)))</f>
        <v>105.69434673242299</v>
      </c>
      <c r="K30" s="62">
        <f>'Model Inputs'!$F$138/'Model Inputs'!$E$148*MIN(1,MAX(0,'Model Inputs'!$E$148-(K$5-1)))</f>
        <v>105.69434673242299</v>
      </c>
      <c r="L30" s="62">
        <f>'Model Inputs'!$F$138/'Model Inputs'!$E$148*MIN(1,MAX(0,'Model Inputs'!$E$148-(L$5-1)))</f>
        <v>105.69434673242299</v>
      </c>
      <c r="M30" s="62">
        <f>'Model Inputs'!$F$138/'Model Inputs'!$E$148*MIN(1,MAX(0,'Model Inputs'!$E$148-(M$5-1)))</f>
        <v>105.69434673242299</v>
      </c>
      <c r="N30" s="62">
        <f>'Model Inputs'!$F$138/'Model Inputs'!$E$148*MIN(1,MAX(0,'Model Inputs'!$E$148-(N$5-1)))</f>
        <v>105.69434673242299</v>
      </c>
      <c r="O30" s="62">
        <f>'Model Inputs'!$F$138/'Model Inputs'!$E$148*MIN(1,MAX(0,'Model Inputs'!$E$148-(O$5-1)))</f>
        <v>105.69434673242299</v>
      </c>
      <c r="P30" s="62">
        <f>'Model Inputs'!$F$138/'Model Inputs'!$E$148*MIN(1,MAX(0,'Model Inputs'!$E$148-(P$5-1)))</f>
        <v>105.69434673242299</v>
      </c>
      <c r="Q30" s="62">
        <f>'Model Inputs'!$F$138/'Model Inputs'!$E$148*MIN(1,MAX(0,'Model Inputs'!$E$148-(Q$5-1)))</f>
        <v>105.69434673242299</v>
      </c>
      <c r="R30" s="62">
        <f>'Model Inputs'!$F$138/'Model Inputs'!$E$148*MIN(1,MAX(0,'Model Inputs'!$E$148-(R$5-1)))</f>
        <v>105.69434673242299</v>
      </c>
      <c r="S30" s="62">
        <f>'Model Inputs'!$F$138/'Model Inputs'!$E$148*MIN(1,MAX(0,'Model Inputs'!$E$148-(S$5-1)))</f>
        <v>105.69434673242299</v>
      </c>
      <c r="T30" s="62">
        <f>'Model Inputs'!$F$138/'Model Inputs'!$E$148*MIN(1,MAX(0,'Model Inputs'!$E$148-(T$5-1)))</f>
        <v>105.69434673242299</v>
      </c>
      <c r="U30" s="62">
        <f>'Model Inputs'!$F$138/'Model Inputs'!$E$148*MIN(1,MAX(0,'Model Inputs'!$E$148-(U$5-1)))</f>
        <v>105.69434673242299</v>
      </c>
      <c r="V30" s="62">
        <f>'Model Inputs'!$F$138/'Model Inputs'!$E$148*MIN(1,MAX(0,'Model Inputs'!$E$148-(V$5-1)))</f>
        <v>105.69434673242299</v>
      </c>
      <c r="W30" s="62">
        <f>'Model Inputs'!$F$138/'Model Inputs'!$E$148*MIN(1,MAX(0,'Model Inputs'!$E$148-(W$5-1)))</f>
        <v>105.69434673242299</v>
      </c>
      <c r="X30" s="62">
        <f>'Model Inputs'!$F$138/'Model Inputs'!$E$148*MIN(1,MAX(0,'Model Inputs'!$E$148-(X$5-1)))</f>
        <v>105.69434673242299</v>
      </c>
      <c r="Y30" s="62">
        <f>'Model Inputs'!$F$138/'Model Inputs'!$E$148*MIN(1,MAX(0,'Model Inputs'!$E$148-(Y$5-1)))</f>
        <v>105.69434673242299</v>
      </c>
      <c r="Z30" s="62">
        <f>'Model Inputs'!$F$138/'Model Inputs'!$E$148*MIN(1,MAX(0,'Model Inputs'!$E$148-(Z$5-1)))</f>
        <v>105.69434673242299</v>
      </c>
      <c r="AA30" s="62">
        <f>'Model Inputs'!$F$138/'Model Inputs'!$E$148*MIN(1,MAX(0,'Model Inputs'!$E$148-(AA$5-1)))</f>
        <v>105.69434673242299</v>
      </c>
      <c r="AB30" s="62">
        <f>'Model Inputs'!$F$138/'Model Inputs'!$E$148*MIN(1,MAX(0,'Model Inputs'!$E$148-(AB$5-1)))</f>
        <v>105.69434673242299</v>
      </c>
      <c r="AC30" s="62">
        <f>'Model Inputs'!$F$138/'Model Inputs'!$E$148*MIN(1,MAX(0,'Model Inputs'!$E$148-(AC$5-1)))</f>
        <v>105.69434673242299</v>
      </c>
      <c r="AD30" s="62">
        <f>'Model Inputs'!$F$138/'Model Inputs'!$E$148*MIN(1,MAX(0,'Model Inputs'!$E$148-(AD$5-1)))</f>
        <v>105.69434673242299</v>
      </c>
      <c r="AE30" s="62">
        <f>'Model Inputs'!$F$138/'Model Inputs'!$E$148*MIN(1,MAX(0,'Model Inputs'!$E$148-(AE$5-1)))</f>
        <v>105.69434673242299</v>
      </c>
      <c r="AF30" s="62">
        <f>'Model Inputs'!$F$138/'Model Inputs'!$E$148*MIN(1,MAX(0,'Model Inputs'!$E$148-(AF$5-1)))</f>
        <v>105.69434673242299</v>
      </c>
      <c r="AG30" s="62">
        <f>'Model Inputs'!$F$138/'Model Inputs'!$E$148*MIN(1,MAX(0,'Model Inputs'!$E$148-(AG$5-1)))</f>
        <v>105.69434673242299</v>
      </c>
      <c r="AH30" s="62">
        <f>'Model Inputs'!$F$138/'Model Inputs'!$E$148*MIN(1,MAX(0,'Model Inputs'!$E$148-(AH$5-1)))</f>
        <v>105.69434673242299</v>
      </c>
      <c r="AI30" s="62">
        <f>'Model Inputs'!$F$138/'Model Inputs'!$E$148*MIN(1,MAX(0,'Model Inputs'!$E$148-(AI$5-1)))</f>
        <v>105.69434673242299</v>
      </c>
      <c r="AJ30" s="62">
        <f>'Model Inputs'!$F$138/'Model Inputs'!$E$148*MIN(1,MAX(0,'Model Inputs'!$E$148-(AJ$5-1)))</f>
        <v>105.69434673242299</v>
      </c>
      <c r="AK30" s="62">
        <f>'Model Inputs'!$F$138/'Model Inputs'!$E$148*MIN(1,MAX(0,'Model Inputs'!$E$148-(AK$5-1)))</f>
        <v>105.69434673242299</v>
      </c>
      <c r="AL30" s="62">
        <f>'Model Inputs'!$F$138/'Model Inputs'!$E$148*MIN(1,MAX(0,'Model Inputs'!$E$148-(AL$5-1)))</f>
        <v>105.69434673242299</v>
      </c>
      <c r="AM30" s="62">
        <f>'Model Inputs'!$F$138/'Model Inputs'!$E$148*MIN(1,MAX(0,'Model Inputs'!$E$148-(AM$5-1)))</f>
        <v>105.69434673242299</v>
      </c>
      <c r="AN30" s="62">
        <f>'Model Inputs'!$F$138/'Model Inputs'!$E$148*MIN(1,MAX(0,'Model Inputs'!$E$148-(AN$5-1)))</f>
        <v>105.69434673242299</v>
      </c>
      <c r="AO30" s="62">
        <f>'Model Inputs'!$F$138/'Model Inputs'!$E$148*MIN(1,MAX(0,'Model Inputs'!$E$148-(AO$5-1)))</f>
        <v>105.69434673242299</v>
      </c>
      <c r="AP30" s="62">
        <f>'Model Inputs'!$F$138/'Model Inputs'!$E$148*MIN(1,MAX(0,'Model Inputs'!$E$148-(AP$5-1)))</f>
        <v>105.69434673242299</v>
      </c>
      <c r="AQ30" s="62">
        <f>'Model Inputs'!$F$138/'Model Inputs'!$E$148*MIN(1,MAX(0,'Model Inputs'!$E$148-(AQ$5-1)))</f>
        <v>105.69434673242299</v>
      </c>
      <c r="AR30" s="62">
        <f>'Model Inputs'!$F$138/'Model Inputs'!$E$148*MIN(1,MAX(0,'Model Inputs'!$E$148-(AR$5-1)))</f>
        <v>105.69434673242299</v>
      </c>
      <c r="AS30" s="62">
        <f>'Model Inputs'!$F$138/'Model Inputs'!$E$148*MIN(1,MAX(0,'Model Inputs'!$E$148-(AS$5-1)))</f>
        <v>105.69434673242299</v>
      </c>
      <c r="AT30" s="62">
        <f>'Model Inputs'!$F$138/'Model Inputs'!$E$148*MIN(1,MAX(0,'Model Inputs'!$E$148-(AT$5-1)))</f>
        <v>105.69434673242299</v>
      </c>
      <c r="AU30" s="62">
        <f>'Model Inputs'!$F$138/'Model Inputs'!$E$148*MIN(1,MAX(0,'Model Inputs'!$E$148-(AU$5-1)))</f>
        <v>105.69434673242299</v>
      </c>
      <c r="AV30" s="62">
        <f>'Model Inputs'!$F$138/'Model Inputs'!$E$148*MIN(1,MAX(0,'Model Inputs'!$E$148-(AV$5-1)))</f>
        <v>105.69434673242299</v>
      </c>
      <c r="AW30" s="62">
        <f>'Model Inputs'!$F$138/'Model Inputs'!$E$148*MIN(1,MAX(0,'Model Inputs'!$E$148-(AW$5-1)))</f>
        <v>105.69434673242299</v>
      </c>
      <c r="AX30" s="62">
        <f>'Model Inputs'!$F$138/'Model Inputs'!$E$148*MIN(1,MAX(0,'Model Inputs'!$E$148-(AX$5-1)))</f>
        <v>105.69434673242299</v>
      </c>
      <c r="AY30" s="62">
        <f>'Model Inputs'!$F$138/'Model Inputs'!$E$148*MIN(1,MAX(0,'Model Inputs'!$E$148-(AY$5-1)))</f>
        <v>101.67135684369667</v>
      </c>
      <c r="AZ30" s="62">
        <f>'Model Inputs'!$F$138/'Model Inputs'!$E$148*MIN(1,MAX(0,'Model Inputs'!$E$148-(AZ$5-1)))</f>
        <v>0</v>
      </c>
      <c r="BA30" s="62">
        <f>'Model Inputs'!$F$138/'Model Inputs'!$E$148*MIN(1,MAX(0,'Model Inputs'!$E$148-(BA$5-1)))</f>
        <v>0</v>
      </c>
      <c r="BB30" s="62">
        <f>'Model Inputs'!$F$138/'Model Inputs'!$E$148*MIN(1,MAX(0,'Model Inputs'!$E$148-(BB$5-1)))</f>
        <v>0</v>
      </c>
      <c r="BC30" s="62">
        <f>'Model Inputs'!$F$138/'Model Inputs'!$E$148*MIN(1,MAX(0,'Model Inputs'!$E$148-(BC$5-1)))</f>
        <v>0</v>
      </c>
      <c r="BD30" s="62">
        <f>'Model Inputs'!$F$138/'Model Inputs'!$E$148*MIN(1,MAX(0,'Model Inputs'!$E$148-(BD$5-1)))</f>
        <v>0</v>
      </c>
      <c r="BE30" s="62">
        <f>'Model Inputs'!$F$138/'Model Inputs'!$E$148*MIN(1,MAX(0,'Model Inputs'!$E$148-(BE$5-1)))</f>
        <v>0</v>
      </c>
      <c r="BF30" s="62">
        <f>'Model Inputs'!$F$138/'Model Inputs'!$E$148*MIN(1,MAX(0,'Model Inputs'!$E$148-(BF$5-1)))</f>
        <v>0</v>
      </c>
      <c r="BG30" s="62">
        <f>'Model Inputs'!$F$138/'Model Inputs'!$E$148*MIN(1,MAX(0,'Model Inputs'!$E$148-(BG$5-1)))</f>
        <v>0</v>
      </c>
      <c r="BH30" s="62">
        <f>'Model Inputs'!$F$138/'Model Inputs'!$E$148*MIN(1,MAX(0,'Model Inputs'!$E$148-(BH$5-1)))</f>
        <v>0</v>
      </c>
      <c r="BI30" s="62">
        <f>'Model Inputs'!$F$138/'Model Inputs'!$E$148*MIN(1,MAX(0,'Model Inputs'!$E$148-(BI$5-1)))</f>
        <v>0</v>
      </c>
      <c r="BJ30" s="62">
        <f>'Model Inputs'!$F$138/'Model Inputs'!$E$148*MIN(1,MAX(0,'Model Inputs'!$E$148-(BJ$5-1)))</f>
        <v>0</v>
      </c>
      <c r="BK30" s="62">
        <f>'Model Inputs'!$F$138/'Model Inputs'!$E$148*MIN(1,MAX(0,'Model Inputs'!$E$148-(BK$5-1)))</f>
        <v>0</v>
      </c>
      <c r="BL30" s="62">
        <f>'Model Inputs'!$F$138/'Model Inputs'!$E$148*MIN(1,MAX(0,'Model Inputs'!$E$148-(BL$5-1)))</f>
        <v>0</v>
      </c>
      <c r="BM30" s="62">
        <f>'Model Inputs'!$F$138/'Model Inputs'!$E$148*MIN(1,MAX(0,'Model Inputs'!$E$148-(BM$5-1)))</f>
        <v>0</v>
      </c>
      <c r="BN30" s="62">
        <f>'Model Inputs'!$F$138/'Model Inputs'!$E$148*MIN(1,MAX(0,'Model Inputs'!$E$148-(BN$5-1)))</f>
        <v>0</v>
      </c>
      <c r="BO30" s="62">
        <f>'Model Inputs'!$F$138/'Model Inputs'!$E$148*MIN(1,MAX(0,'Model Inputs'!$E$148-(BO$5-1)))</f>
        <v>0</v>
      </c>
    </row>
    <row r="31" spans="1:67" ht="15" customHeight="1" x14ac:dyDescent="0.2">
      <c r="A31" s="14" t="s">
        <v>201</v>
      </c>
      <c r="B31" s="61">
        <f t="shared" si="2"/>
        <v>895.00000000000034</v>
      </c>
      <c r="C31" s="62">
        <f>'Model Inputs'!$F$139/'Model Inputs'!$E$149*MIN(1,MAX(0,'Model Inputs'!$E$149-(C$5-1)))</f>
        <v>24.372673835882402</v>
      </c>
      <c r="D31" s="62">
        <f>'Model Inputs'!$F$139/'Model Inputs'!$E$149*MIN(1,MAX(0,'Model Inputs'!$E$149-(D$5-1)))</f>
        <v>24.372673835882402</v>
      </c>
      <c r="E31" s="62">
        <f>'Model Inputs'!$F$139/'Model Inputs'!$E$149*MIN(1,MAX(0,'Model Inputs'!$E$149-(E$5-1)))</f>
        <v>24.372673835882402</v>
      </c>
      <c r="F31" s="62">
        <f>'Model Inputs'!$F$139/'Model Inputs'!$E$149*MIN(1,MAX(0,'Model Inputs'!$E$149-(F$5-1)))</f>
        <v>24.372673835882402</v>
      </c>
      <c r="G31" s="62">
        <f>'Model Inputs'!$F$139/'Model Inputs'!$E$149*MIN(1,MAX(0,'Model Inputs'!$E$149-(G$5-1)))</f>
        <v>24.372673835882402</v>
      </c>
      <c r="H31" s="62">
        <f>'Model Inputs'!$F$139/'Model Inputs'!$E$149*MIN(1,MAX(0,'Model Inputs'!$E$149-(H$5-1)))</f>
        <v>24.372673835882402</v>
      </c>
      <c r="I31" s="62">
        <f>'Model Inputs'!$F$139/'Model Inputs'!$E$149*MIN(1,MAX(0,'Model Inputs'!$E$149-(I$5-1)))</f>
        <v>24.372673835882402</v>
      </c>
      <c r="J31" s="62">
        <f>'Model Inputs'!$F$139/'Model Inputs'!$E$149*MIN(1,MAX(0,'Model Inputs'!$E$149-(J$5-1)))</f>
        <v>24.372673835882402</v>
      </c>
      <c r="K31" s="62">
        <f>'Model Inputs'!$F$139/'Model Inputs'!$E$149*MIN(1,MAX(0,'Model Inputs'!$E$149-(K$5-1)))</f>
        <v>24.372673835882402</v>
      </c>
      <c r="L31" s="62">
        <f>'Model Inputs'!$F$139/'Model Inputs'!$E$149*MIN(1,MAX(0,'Model Inputs'!$E$149-(L$5-1)))</f>
        <v>24.372673835882402</v>
      </c>
      <c r="M31" s="62">
        <f>'Model Inputs'!$F$139/'Model Inputs'!$E$149*MIN(1,MAX(0,'Model Inputs'!$E$149-(M$5-1)))</f>
        <v>24.372673835882402</v>
      </c>
      <c r="N31" s="62">
        <f>'Model Inputs'!$F$139/'Model Inputs'!$E$149*MIN(1,MAX(0,'Model Inputs'!$E$149-(N$5-1)))</f>
        <v>24.372673835882402</v>
      </c>
      <c r="O31" s="62">
        <f>'Model Inputs'!$F$139/'Model Inputs'!$E$149*MIN(1,MAX(0,'Model Inputs'!$E$149-(O$5-1)))</f>
        <v>24.372673835882402</v>
      </c>
      <c r="P31" s="62">
        <f>'Model Inputs'!$F$139/'Model Inputs'!$E$149*MIN(1,MAX(0,'Model Inputs'!$E$149-(P$5-1)))</f>
        <v>24.372673835882402</v>
      </c>
      <c r="Q31" s="62">
        <f>'Model Inputs'!$F$139/'Model Inputs'!$E$149*MIN(1,MAX(0,'Model Inputs'!$E$149-(Q$5-1)))</f>
        <v>24.372673835882402</v>
      </c>
      <c r="R31" s="62">
        <f>'Model Inputs'!$F$139/'Model Inputs'!$E$149*MIN(1,MAX(0,'Model Inputs'!$E$149-(R$5-1)))</f>
        <v>24.372673835882402</v>
      </c>
      <c r="S31" s="62">
        <f>'Model Inputs'!$F$139/'Model Inputs'!$E$149*MIN(1,MAX(0,'Model Inputs'!$E$149-(S$5-1)))</f>
        <v>24.372673835882402</v>
      </c>
      <c r="T31" s="62">
        <f>'Model Inputs'!$F$139/'Model Inputs'!$E$149*MIN(1,MAX(0,'Model Inputs'!$E$149-(T$5-1)))</f>
        <v>24.372673835882402</v>
      </c>
      <c r="U31" s="62">
        <f>'Model Inputs'!$F$139/'Model Inputs'!$E$149*MIN(1,MAX(0,'Model Inputs'!$E$149-(U$5-1)))</f>
        <v>24.372673835882402</v>
      </c>
      <c r="V31" s="62">
        <f>'Model Inputs'!$F$139/'Model Inputs'!$E$149*MIN(1,MAX(0,'Model Inputs'!$E$149-(V$5-1)))</f>
        <v>24.372673835882402</v>
      </c>
      <c r="W31" s="62">
        <f>'Model Inputs'!$F$139/'Model Inputs'!$E$149*MIN(1,MAX(0,'Model Inputs'!$E$149-(W$5-1)))</f>
        <v>24.372673835882402</v>
      </c>
      <c r="X31" s="62">
        <f>'Model Inputs'!$F$139/'Model Inputs'!$E$149*MIN(1,MAX(0,'Model Inputs'!$E$149-(X$5-1)))</f>
        <v>24.372673835882402</v>
      </c>
      <c r="Y31" s="62">
        <f>'Model Inputs'!$F$139/'Model Inputs'!$E$149*MIN(1,MAX(0,'Model Inputs'!$E$149-(Y$5-1)))</f>
        <v>24.372673835882402</v>
      </c>
      <c r="Z31" s="62">
        <f>'Model Inputs'!$F$139/'Model Inputs'!$E$149*MIN(1,MAX(0,'Model Inputs'!$E$149-(Z$5-1)))</f>
        <v>24.372673835882402</v>
      </c>
      <c r="AA31" s="62">
        <f>'Model Inputs'!$F$139/'Model Inputs'!$E$149*MIN(1,MAX(0,'Model Inputs'!$E$149-(AA$5-1)))</f>
        <v>24.372673835882402</v>
      </c>
      <c r="AB31" s="62">
        <f>'Model Inputs'!$F$139/'Model Inputs'!$E$149*MIN(1,MAX(0,'Model Inputs'!$E$149-(AB$5-1)))</f>
        <v>24.372673835882402</v>
      </c>
      <c r="AC31" s="62">
        <f>'Model Inputs'!$F$139/'Model Inputs'!$E$149*MIN(1,MAX(0,'Model Inputs'!$E$149-(AC$5-1)))</f>
        <v>24.372673835882402</v>
      </c>
      <c r="AD31" s="62">
        <f>'Model Inputs'!$F$139/'Model Inputs'!$E$149*MIN(1,MAX(0,'Model Inputs'!$E$149-(AD$5-1)))</f>
        <v>24.372673835882402</v>
      </c>
      <c r="AE31" s="62">
        <f>'Model Inputs'!$F$139/'Model Inputs'!$E$149*MIN(1,MAX(0,'Model Inputs'!$E$149-(AE$5-1)))</f>
        <v>24.372673835882402</v>
      </c>
      <c r="AF31" s="62">
        <f>'Model Inputs'!$F$139/'Model Inputs'!$E$149*MIN(1,MAX(0,'Model Inputs'!$E$149-(AF$5-1)))</f>
        <v>24.372673835882402</v>
      </c>
      <c r="AG31" s="62">
        <f>'Model Inputs'!$F$139/'Model Inputs'!$E$149*MIN(1,MAX(0,'Model Inputs'!$E$149-(AG$5-1)))</f>
        <v>24.372673835882402</v>
      </c>
      <c r="AH31" s="62">
        <f>'Model Inputs'!$F$139/'Model Inputs'!$E$149*MIN(1,MAX(0,'Model Inputs'!$E$149-(AH$5-1)))</f>
        <v>24.372673835882402</v>
      </c>
      <c r="AI31" s="62">
        <f>'Model Inputs'!$F$139/'Model Inputs'!$E$149*MIN(1,MAX(0,'Model Inputs'!$E$149-(AI$5-1)))</f>
        <v>24.372673835882402</v>
      </c>
      <c r="AJ31" s="62">
        <f>'Model Inputs'!$F$139/'Model Inputs'!$E$149*MIN(1,MAX(0,'Model Inputs'!$E$149-(AJ$5-1)))</f>
        <v>24.372673835882402</v>
      </c>
      <c r="AK31" s="62">
        <f>'Model Inputs'!$F$139/'Model Inputs'!$E$149*MIN(1,MAX(0,'Model Inputs'!$E$149-(AK$5-1)))</f>
        <v>24.372673835882402</v>
      </c>
      <c r="AL31" s="62">
        <f>'Model Inputs'!$F$139/'Model Inputs'!$E$149*MIN(1,MAX(0,'Model Inputs'!$E$149-(AL$5-1)))</f>
        <v>24.372673835882402</v>
      </c>
      <c r="AM31" s="62">
        <f>'Model Inputs'!$F$139/'Model Inputs'!$E$149*MIN(1,MAX(0,'Model Inputs'!$E$149-(AM$5-1)))</f>
        <v>17.583741908233488</v>
      </c>
      <c r="AN31" s="62">
        <f>'Model Inputs'!$F$139/'Model Inputs'!$E$149*MIN(1,MAX(0,'Model Inputs'!$E$149-(AN$5-1)))</f>
        <v>0</v>
      </c>
      <c r="AO31" s="62">
        <f>'Model Inputs'!$F$139/'Model Inputs'!$E$149*MIN(1,MAX(0,'Model Inputs'!$E$149-(AO$5-1)))</f>
        <v>0</v>
      </c>
      <c r="AP31" s="62">
        <f>'Model Inputs'!$F$139/'Model Inputs'!$E$149*MIN(1,MAX(0,'Model Inputs'!$E$149-(AP$5-1)))</f>
        <v>0</v>
      </c>
      <c r="AQ31" s="62">
        <f>'Model Inputs'!$F$139/'Model Inputs'!$E$149*MIN(1,MAX(0,'Model Inputs'!$E$149-(AQ$5-1)))</f>
        <v>0</v>
      </c>
      <c r="AR31" s="62">
        <f>'Model Inputs'!$F$139/'Model Inputs'!$E$149*MIN(1,MAX(0,'Model Inputs'!$E$149-(AR$5-1)))</f>
        <v>0</v>
      </c>
      <c r="AS31" s="62">
        <f>'Model Inputs'!$F$139/'Model Inputs'!$E$149*MIN(1,MAX(0,'Model Inputs'!$E$149-(AS$5-1)))</f>
        <v>0</v>
      </c>
      <c r="AT31" s="62">
        <f>'Model Inputs'!$F$139/'Model Inputs'!$E$149*MIN(1,MAX(0,'Model Inputs'!$E$149-(AT$5-1)))</f>
        <v>0</v>
      </c>
      <c r="AU31" s="62">
        <f>'Model Inputs'!$F$139/'Model Inputs'!$E$149*MIN(1,MAX(0,'Model Inputs'!$E$149-(AU$5-1)))</f>
        <v>0</v>
      </c>
      <c r="AV31" s="62">
        <f>'Model Inputs'!$F$139/'Model Inputs'!$E$149*MIN(1,MAX(0,'Model Inputs'!$E$149-(AV$5-1)))</f>
        <v>0</v>
      </c>
      <c r="AW31" s="62">
        <f>'Model Inputs'!$F$139/'Model Inputs'!$E$149*MIN(1,MAX(0,'Model Inputs'!$E$149-(AW$5-1)))</f>
        <v>0</v>
      </c>
      <c r="AX31" s="62">
        <f>'Model Inputs'!$F$139/'Model Inputs'!$E$149*MIN(1,MAX(0,'Model Inputs'!$E$149-(AX$5-1)))</f>
        <v>0</v>
      </c>
      <c r="AY31" s="62">
        <f>'Model Inputs'!$F$139/'Model Inputs'!$E$149*MIN(1,MAX(0,'Model Inputs'!$E$149-(AY$5-1)))</f>
        <v>0</v>
      </c>
      <c r="AZ31" s="62">
        <f>'Model Inputs'!$F$139/'Model Inputs'!$E$149*MIN(1,MAX(0,'Model Inputs'!$E$149-(AZ$5-1)))</f>
        <v>0</v>
      </c>
      <c r="BA31" s="62">
        <f>'Model Inputs'!$F$139/'Model Inputs'!$E$149*MIN(1,MAX(0,'Model Inputs'!$E$149-(BA$5-1)))</f>
        <v>0</v>
      </c>
      <c r="BB31" s="62">
        <f>'Model Inputs'!$F$139/'Model Inputs'!$E$149*MIN(1,MAX(0,'Model Inputs'!$E$149-(BB$5-1)))</f>
        <v>0</v>
      </c>
      <c r="BC31" s="62">
        <f>'Model Inputs'!$F$139/'Model Inputs'!$E$149*MIN(1,MAX(0,'Model Inputs'!$E$149-(BC$5-1)))</f>
        <v>0</v>
      </c>
      <c r="BD31" s="62">
        <f>'Model Inputs'!$F$139/'Model Inputs'!$E$149*MIN(1,MAX(0,'Model Inputs'!$E$149-(BD$5-1)))</f>
        <v>0</v>
      </c>
      <c r="BE31" s="62">
        <f>'Model Inputs'!$F$139/'Model Inputs'!$E$149*MIN(1,MAX(0,'Model Inputs'!$E$149-(BE$5-1)))</f>
        <v>0</v>
      </c>
      <c r="BF31" s="62">
        <f>'Model Inputs'!$F$139/'Model Inputs'!$E$149*MIN(1,MAX(0,'Model Inputs'!$E$149-(BF$5-1)))</f>
        <v>0</v>
      </c>
      <c r="BG31" s="62">
        <f>'Model Inputs'!$F$139/'Model Inputs'!$E$149*MIN(1,MAX(0,'Model Inputs'!$E$149-(BG$5-1)))</f>
        <v>0</v>
      </c>
      <c r="BH31" s="62">
        <f>'Model Inputs'!$F$139/'Model Inputs'!$E$149*MIN(1,MAX(0,'Model Inputs'!$E$149-(BH$5-1)))</f>
        <v>0</v>
      </c>
      <c r="BI31" s="62">
        <f>'Model Inputs'!$F$139/'Model Inputs'!$E$149*MIN(1,MAX(0,'Model Inputs'!$E$149-(BI$5-1)))</f>
        <v>0</v>
      </c>
      <c r="BJ31" s="62">
        <f>'Model Inputs'!$F$139/'Model Inputs'!$E$149*MIN(1,MAX(0,'Model Inputs'!$E$149-(BJ$5-1)))</f>
        <v>0</v>
      </c>
      <c r="BK31" s="62">
        <f>'Model Inputs'!$F$139/'Model Inputs'!$E$149*MIN(1,MAX(0,'Model Inputs'!$E$149-(BK$5-1)))</f>
        <v>0</v>
      </c>
      <c r="BL31" s="62">
        <f>'Model Inputs'!$F$139/'Model Inputs'!$E$149*MIN(1,MAX(0,'Model Inputs'!$E$149-(BL$5-1)))</f>
        <v>0</v>
      </c>
      <c r="BM31" s="62">
        <f>'Model Inputs'!$F$139/'Model Inputs'!$E$149*MIN(1,MAX(0,'Model Inputs'!$E$149-(BM$5-1)))</f>
        <v>0</v>
      </c>
      <c r="BN31" s="62">
        <f>'Model Inputs'!$F$139/'Model Inputs'!$E$149*MIN(1,MAX(0,'Model Inputs'!$E$149-(BN$5-1)))</f>
        <v>0</v>
      </c>
      <c r="BO31" s="62">
        <f>'Model Inputs'!$F$139/'Model Inputs'!$E$149*MIN(1,MAX(0,'Model Inputs'!$E$149-(BO$5-1)))</f>
        <v>0</v>
      </c>
    </row>
    <row r="32" spans="1:67" ht="15" customHeight="1" x14ac:dyDescent="0.2">
      <c r="A32" s="14" t="s">
        <v>202</v>
      </c>
      <c r="B32" s="61">
        <f t="shared" si="2"/>
        <v>7687.9999999999945</v>
      </c>
      <c r="C32" s="62">
        <f>'Model Inputs'!$F$140/'Model Inputs'!$E$149*MIN(1,MAX(0,'Model Inputs'!$E$149-(C$5-1)))</f>
        <v>209.35990664833957</v>
      </c>
      <c r="D32" s="62">
        <f>'Model Inputs'!$F$140/'Model Inputs'!$E$149*MIN(1,MAX(0,'Model Inputs'!$E$149-(D$5-1)))</f>
        <v>209.35990664833957</v>
      </c>
      <c r="E32" s="62">
        <f>'Model Inputs'!$F$140/'Model Inputs'!$E$149*MIN(1,MAX(0,'Model Inputs'!$E$149-(E$5-1)))</f>
        <v>209.35990664833957</v>
      </c>
      <c r="F32" s="62">
        <f>'Model Inputs'!$F$140/'Model Inputs'!$E$149*MIN(1,MAX(0,'Model Inputs'!$E$149-(F$5-1)))</f>
        <v>209.35990664833957</v>
      </c>
      <c r="G32" s="62">
        <f>'Model Inputs'!$F$140/'Model Inputs'!$E$149*MIN(1,MAX(0,'Model Inputs'!$E$149-(G$5-1)))</f>
        <v>209.35990664833957</v>
      </c>
      <c r="H32" s="62">
        <f>'Model Inputs'!$F$140/'Model Inputs'!$E$149*MIN(1,MAX(0,'Model Inputs'!$E$149-(H$5-1)))</f>
        <v>209.35990664833957</v>
      </c>
      <c r="I32" s="62">
        <f>'Model Inputs'!$F$140/'Model Inputs'!$E$149*MIN(1,MAX(0,'Model Inputs'!$E$149-(I$5-1)))</f>
        <v>209.35990664833957</v>
      </c>
      <c r="J32" s="62">
        <f>'Model Inputs'!$F$140/'Model Inputs'!$E$149*MIN(1,MAX(0,'Model Inputs'!$E$149-(J$5-1)))</f>
        <v>209.35990664833957</v>
      </c>
      <c r="K32" s="62">
        <f>'Model Inputs'!$F$140/'Model Inputs'!$E$149*MIN(1,MAX(0,'Model Inputs'!$E$149-(K$5-1)))</f>
        <v>209.35990664833957</v>
      </c>
      <c r="L32" s="62">
        <f>'Model Inputs'!$F$140/'Model Inputs'!$E$149*MIN(1,MAX(0,'Model Inputs'!$E$149-(L$5-1)))</f>
        <v>209.35990664833957</v>
      </c>
      <c r="M32" s="62">
        <f>'Model Inputs'!$F$140/'Model Inputs'!$E$149*MIN(1,MAX(0,'Model Inputs'!$E$149-(M$5-1)))</f>
        <v>209.35990664833957</v>
      </c>
      <c r="N32" s="62">
        <f>'Model Inputs'!$F$140/'Model Inputs'!$E$149*MIN(1,MAX(0,'Model Inputs'!$E$149-(N$5-1)))</f>
        <v>209.35990664833957</v>
      </c>
      <c r="O32" s="62">
        <f>'Model Inputs'!$F$140/'Model Inputs'!$E$149*MIN(1,MAX(0,'Model Inputs'!$E$149-(O$5-1)))</f>
        <v>209.35990664833957</v>
      </c>
      <c r="P32" s="62">
        <f>'Model Inputs'!$F$140/'Model Inputs'!$E$149*MIN(1,MAX(0,'Model Inputs'!$E$149-(P$5-1)))</f>
        <v>209.35990664833957</v>
      </c>
      <c r="Q32" s="62">
        <f>'Model Inputs'!$F$140/'Model Inputs'!$E$149*MIN(1,MAX(0,'Model Inputs'!$E$149-(Q$5-1)))</f>
        <v>209.35990664833957</v>
      </c>
      <c r="R32" s="62">
        <f>'Model Inputs'!$F$140/'Model Inputs'!$E$149*MIN(1,MAX(0,'Model Inputs'!$E$149-(R$5-1)))</f>
        <v>209.35990664833957</v>
      </c>
      <c r="S32" s="62">
        <f>'Model Inputs'!$F$140/'Model Inputs'!$E$149*MIN(1,MAX(0,'Model Inputs'!$E$149-(S$5-1)))</f>
        <v>209.35990664833957</v>
      </c>
      <c r="T32" s="62">
        <f>'Model Inputs'!$F$140/'Model Inputs'!$E$149*MIN(1,MAX(0,'Model Inputs'!$E$149-(T$5-1)))</f>
        <v>209.35990664833957</v>
      </c>
      <c r="U32" s="62">
        <f>'Model Inputs'!$F$140/'Model Inputs'!$E$149*MIN(1,MAX(0,'Model Inputs'!$E$149-(U$5-1)))</f>
        <v>209.35990664833957</v>
      </c>
      <c r="V32" s="62">
        <f>'Model Inputs'!$F$140/'Model Inputs'!$E$149*MIN(1,MAX(0,'Model Inputs'!$E$149-(V$5-1)))</f>
        <v>209.35990664833957</v>
      </c>
      <c r="W32" s="62">
        <f>'Model Inputs'!$F$140/'Model Inputs'!$E$149*MIN(1,MAX(0,'Model Inputs'!$E$149-(W$5-1)))</f>
        <v>209.35990664833957</v>
      </c>
      <c r="X32" s="62">
        <f>'Model Inputs'!$F$140/'Model Inputs'!$E$149*MIN(1,MAX(0,'Model Inputs'!$E$149-(X$5-1)))</f>
        <v>209.35990664833957</v>
      </c>
      <c r="Y32" s="62">
        <f>'Model Inputs'!$F$140/'Model Inputs'!$E$149*MIN(1,MAX(0,'Model Inputs'!$E$149-(Y$5-1)))</f>
        <v>209.35990664833957</v>
      </c>
      <c r="Z32" s="62">
        <f>'Model Inputs'!$F$140/'Model Inputs'!$E$149*MIN(1,MAX(0,'Model Inputs'!$E$149-(Z$5-1)))</f>
        <v>209.35990664833957</v>
      </c>
      <c r="AA32" s="62">
        <f>'Model Inputs'!$F$140/'Model Inputs'!$E$149*MIN(1,MAX(0,'Model Inputs'!$E$149-(AA$5-1)))</f>
        <v>209.35990664833957</v>
      </c>
      <c r="AB32" s="62">
        <f>'Model Inputs'!$F$140/'Model Inputs'!$E$149*MIN(1,MAX(0,'Model Inputs'!$E$149-(AB$5-1)))</f>
        <v>209.35990664833957</v>
      </c>
      <c r="AC32" s="62">
        <f>'Model Inputs'!$F$140/'Model Inputs'!$E$149*MIN(1,MAX(0,'Model Inputs'!$E$149-(AC$5-1)))</f>
        <v>209.35990664833957</v>
      </c>
      <c r="AD32" s="62">
        <f>'Model Inputs'!$F$140/'Model Inputs'!$E$149*MIN(1,MAX(0,'Model Inputs'!$E$149-(AD$5-1)))</f>
        <v>209.35990664833957</v>
      </c>
      <c r="AE32" s="62">
        <f>'Model Inputs'!$F$140/'Model Inputs'!$E$149*MIN(1,MAX(0,'Model Inputs'!$E$149-(AE$5-1)))</f>
        <v>209.35990664833957</v>
      </c>
      <c r="AF32" s="62">
        <f>'Model Inputs'!$F$140/'Model Inputs'!$E$149*MIN(1,MAX(0,'Model Inputs'!$E$149-(AF$5-1)))</f>
        <v>209.35990664833957</v>
      </c>
      <c r="AG32" s="62">
        <f>'Model Inputs'!$F$140/'Model Inputs'!$E$149*MIN(1,MAX(0,'Model Inputs'!$E$149-(AG$5-1)))</f>
        <v>209.35990664833957</v>
      </c>
      <c r="AH32" s="62">
        <f>'Model Inputs'!$F$140/'Model Inputs'!$E$149*MIN(1,MAX(0,'Model Inputs'!$E$149-(AH$5-1)))</f>
        <v>209.35990664833957</v>
      </c>
      <c r="AI32" s="62">
        <f>'Model Inputs'!$F$140/'Model Inputs'!$E$149*MIN(1,MAX(0,'Model Inputs'!$E$149-(AI$5-1)))</f>
        <v>209.35990664833957</v>
      </c>
      <c r="AJ32" s="62">
        <f>'Model Inputs'!$F$140/'Model Inputs'!$E$149*MIN(1,MAX(0,'Model Inputs'!$E$149-(AJ$5-1)))</f>
        <v>209.35990664833957</v>
      </c>
      <c r="AK32" s="62">
        <f>'Model Inputs'!$F$140/'Model Inputs'!$E$149*MIN(1,MAX(0,'Model Inputs'!$E$149-(AK$5-1)))</f>
        <v>209.35990664833957</v>
      </c>
      <c r="AL32" s="62">
        <f>'Model Inputs'!$F$140/'Model Inputs'!$E$149*MIN(1,MAX(0,'Model Inputs'!$E$149-(AL$5-1)))</f>
        <v>209.35990664833957</v>
      </c>
      <c r="AM32" s="62">
        <f>'Model Inputs'!$F$140/'Model Inputs'!$E$149*MIN(1,MAX(0,'Model Inputs'!$E$149-(AM$5-1)))</f>
        <v>151.04336065977549</v>
      </c>
      <c r="AN32" s="62">
        <f>'Model Inputs'!$F$140/'Model Inputs'!$E$149*MIN(1,MAX(0,'Model Inputs'!$E$149-(AN$5-1)))</f>
        <v>0</v>
      </c>
      <c r="AO32" s="62">
        <f>'Model Inputs'!$F$140/'Model Inputs'!$E$149*MIN(1,MAX(0,'Model Inputs'!$E$149-(AO$5-1)))</f>
        <v>0</v>
      </c>
      <c r="AP32" s="62">
        <f>'Model Inputs'!$F$140/'Model Inputs'!$E$149*MIN(1,MAX(0,'Model Inputs'!$E$149-(AP$5-1)))</f>
        <v>0</v>
      </c>
      <c r="AQ32" s="62">
        <f>'Model Inputs'!$F$140/'Model Inputs'!$E$149*MIN(1,MAX(0,'Model Inputs'!$E$149-(AQ$5-1)))</f>
        <v>0</v>
      </c>
      <c r="AR32" s="62">
        <f>'Model Inputs'!$F$140/'Model Inputs'!$E$149*MIN(1,MAX(0,'Model Inputs'!$E$149-(AR$5-1)))</f>
        <v>0</v>
      </c>
      <c r="AS32" s="62">
        <f>'Model Inputs'!$F$140/'Model Inputs'!$E$149*MIN(1,MAX(0,'Model Inputs'!$E$149-(AS$5-1)))</f>
        <v>0</v>
      </c>
      <c r="AT32" s="62">
        <f>'Model Inputs'!$F$140/'Model Inputs'!$E$149*MIN(1,MAX(0,'Model Inputs'!$E$149-(AT$5-1)))</f>
        <v>0</v>
      </c>
      <c r="AU32" s="62">
        <f>'Model Inputs'!$F$140/'Model Inputs'!$E$149*MIN(1,MAX(0,'Model Inputs'!$E$149-(AU$5-1)))</f>
        <v>0</v>
      </c>
      <c r="AV32" s="62">
        <f>'Model Inputs'!$F$140/'Model Inputs'!$E$149*MIN(1,MAX(0,'Model Inputs'!$E$149-(AV$5-1)))</f>
        <v>0</v>
      </c>
      <c r="AW32" s="62">
        <f>'Model Inputs'!$F$140/'Model Inputs'!$E$149*MIN(1,MAX(0,'Model Inputs'!$E$149-(AW$5-1)))</f>
        <v>0</v>
      </c>
      <c r="AX32" s="62">
        <f>'Model Inputs'!$F$140/'Model Inputs'!$E$149*MIN(1,MAX(0,'Model Inputs'!$E$149-(AX$5-1)))</f>
        <v>0</v>
      </c>
      <c r="AY32" s="62">
        <f>'Model Inputs'!$F$140/'Model Inputs'!$E$149*MIN(1,MAX(0,'Model Inputs'!$E$149-(AY$5-1)))</f>
        <v>0</v>
      </c>
      <c r="AZ32" s="62">
        <f>'Model Inputs'!$F$140/'Model Inputs'!$E$149*MIN(1,MAX(0,'Model Inputs'!$E$149-(AZ$5-1)))</f>
        <v>0</v>
      </c>
      <c r="BA32" s="62">
        <f>'Model Inputs'!$F$140/'Model Inputs'!$E$149*MIN(1,MAX(0,'Model Inputs'!$E$149-(BA$5-1)))</f>
        <v>0</v>
      </c>
      <c r="BB32" s="62">
        <f>'Model Inputs'!$F$140/'Model Inputs'!$E$149*MIN(1,MAX(0,'Model Inputs'!$E$149-(BB$5-1)))</f>
        <v>0</v>
      </c>
      <c r="BC32" s="62">
        <f>'Model Inputs'!$F$140/'Model Inputs'!$E$149*MIN(1,MAX(0,'Model Inputs'!$E$149-(BC$5-1)))</f>
        <v>0</v>
      </c>
      <c r="BD32" s="62">
        <f>'Model Inputs'!$F$140/'Model Inputs'!$E$149*MIN(1,MAX(0,'Model Inputs'!$E$149-(BD$5-1)))</f>
        <v>0</v>
      </c>
      <c r="BE32" s="62">
        <f>'Model Inputs'!$F$140/'Model Inputs'!$E$149*MIN(1,MAX(0,'Model Inputs'!$E$149-(BE$5-1)))</f>
        <v>0</v>
      </c>
      <c r="BF32" s="62">
        <f>'Model Inputs'!$F$140/'Model Inputs'!$E$149*MIN(1,MAX(0,'Model Inputs'!$E$149-(BF$5-1)))</f>
        <v>0</v>
      </c>
      <c r="BG32" s="62">
        <f>'Model Inputs'!$F$140/'Model Inputs'!$E$149*MIN(1,MAX(0,'Model Inputs'!$E$149-(BG$5-1)))</f>
        <v>0</v>
      </c>
      <c r="BH32" s="62">
        <f>'Model Inputs'!$F$140/'Model Inputs'!$E$149*MIN(1,MAX(0,'Model Inputs'!$E$149-(BH$5-1)))</f>
        <v>0</v>
      </c>
      <c r="BI32" s="62">
        <f>'Model Inputs'!$F$140/'Model Inputs'!$E$149*MIN(1,MAX(0,'Model Inputs'!$E$149-(BI$5-1)))</f>
        <v>0</v>
      </c>
      <c r="BJ32" s="62">
        <f>'Model Inputs'!$F$140/'Model Inputs'!$E$149*MIN(1,MAX(0,'Model Inputs'!$E$149-(BJ$5-1)))</f>
        <v>0</v>
      </c>
      <c r="BK32" s="62">
        <f>'Model Inputs'!$F$140/'Model Inputs'!$E$149*MIN(1,MAX(0,'Model Inputs'!$E$149-(BK$5-1)))</f>
        <v>0</v>
      </c>
      <c r="BL32" s="62">
        <f>'Model Inputs'!$F$140/'Model Inputs'!$E$149*MIN(1,MAX(0,'Model Inputs'!$E$149-(BL$5-1)))</f>
        <v>0</v>
      </c>
      <c r="BM32" s="62">
        <f>'Model Inputs'!$F$140/'Model Inputs'!$E$149*MIN(1,MAX(0,'Model Inputs'!$E$149-(BM$5-1)))</f>
        <v>0</v>
      </c>
      <c r="BN32" s="62">
        <f>'Model Inputs'!$F$140/'Model Inputs'!$E$149*MIN(1,MAX(0,'Model Inputs'!$E$149-(BN$5-1)))</f>
        <v>0</v>
      </c>
      <c r="BO32" s="62">
        <f>'Model Inputs'!$F$140/'Model Inputs'!$E$149*MIN(1,MAX(0,'Model Inputs'!$E$149-(BO$5-1)))</f>
        <v>0</v>
      </c>
    </row>
    <row r="33" spans="1:67" ht="15" customHeight="1" x14ac:dyDescent="0.2">
      <c r="A33" s="14" t="s">
        <v>203</v>
      </c>
      <c r="B33" s="61">
        <f t="shared" si="2"/>
        <v>1220.9999999999991</v>
      </c>
      <c r="C33" s="62">
        <f>'Model Inputs'!$F$141/'Model Inputs'!$E$147*MIN(1,MAX(0,'Model Inputs'!$E$147-(C$5-1)))</f>
        <v>43.641042585604794</v>
      </c>
      <c r="D33" s="62">
        <f>'Model Inputs'!$F$141/'Model Inputs'!$E$147*MIN(1,MAX(0,'Model Inputs'!$E$147-(D$5-1)))</f>
        <v>43.641042585604794</v>
      </c>
      <c r="E33" s="62">
        <f>'Model Inputs'!$F$141/'Model Inputs'!$E$147*MIN(1,MAX(0,'Model Inputs'!$E$147-(E$5-1)))</f>
        <v>43.641042585604794</v>
      </c>
      <c r="F33" s="62">
        <f>'Model Inputs'!$F$141/'Model Inputs'!$E$147*MIN(1,MAX(0,'Model Inputs'!$E$147-(F$5-1)))</f>
        <v>43.641042585604794</v>
      </c>
      <c r="G33" s="62">
        <f>'Model Inputs'!$F$141/'Model Inputs'!$E$147*MIN(1,MAX(0,'Model Inputs'!$E$147-(G$5-1)))</f>
        <v>43.641042585604794</v>
      </c>
      <c r="H33" s="62">
        <f>'Model Inputs'!$F$141/'Model Inputs'!$E$147*MIN(1,MAX(0,'Model Inputs'!$E$147-(H$5-1)))</f>
        <v>43.641042585604794</v>
      </c>
      <c r="I33" s="62">
        <f>'Model Inputs'!$F$141/'Model Inputs'!$E$147*MIN(1,MAX(0,'Model Inputs'!$E$147-(I$5-1)))</f>
        <v>43.641042585604794</v>
      </c>
      <c r="J33" s="62">
        <f>'Model Inputs'!$F$141/'Model Inputs'!$E$147*MIN(1,MAX(0,'Model Inputs'!$E$147-(J$5-1)))</f>
        <v>43.641042585604794</v>
      </c>
      <c r="K33" s="62">
        <f>'Model Inputs'!$F$141/'Model Inputs'!$E$147*MIN(1,MAX(0,'Model Inputs'!$E$147-(K$5-1)))</f>
        <v>43.641042585604794</v>
      </c>
      <c r="L33" s="62">
        <f>'Model Inputs'!$F$141/'Model Inputs'!$E$147*MIN(1,MAX(0,'Model Inputs'!$E$147-(L$5-1)))</f>
        <v>43.641042585604794</v>
      </c>
      <c r="M33" s="62">
        <f>'Model Inputs'!$F$141/'Model Inputs'!$E$147*MIN(1,MAX(0,'Model Inputs'!$E$147-(M$5-1)))</f>
        <v>43.641042585604794</v>
      </c>
      <c r="N33" s="62">
        <f>'Model Inputs'!$F$141/'Model Inputs'!$E$147*MIN(1,MAX(0,'Model Inputs'!$E$147-(N$5-1)))</f>
        <v>43.641042585604794</v>
      </c>
      <c r="O33" s="62">
        <f>'Model Inputs'!$F$141/'Model Inputs'!$E$147*MIN(1,MAX(0,'Model Inputs'!$E$147-(O$5-1)))</f>
        <v>43.641042585604794</v>
      </c>
      <c r="P33" s="62">
        <f>'Model Inputs'!$F$141/'Model Inputs'!$E$147*MIN(1,MAX(0,'Model Inputs'!$E$147-(P$5-1)))</f>
        <v>43.641042585604794</v>
      </c>
      <c r="Q33" s="62">
        <f>'Model Inputs'!$F$141/'Model Inputs'!$E$147*MIN(1,MAX(0,'Model Inputs'!$E$147-(Q$5-1)))</f>
        <v>43.641042585604794</v>
      </c>
      <c r="R33" s="62">
        <f>'Model Inputs'!$F$141/'Model Inputs'!$E$147*MIN(1,MAX(0,'Model Inputs'!$E$147-(R$5-1)))</f>
        <v>43.641042585604794</v>
      </c>
      <c r="S33" s="62">
        <f>'Model Inputs'!$F$141/'Model Inputs'!$E$147*MIN(1,MAX(0,'Model Inputs'!$E$147-(S$5-1)))</f>
        <v>43.641042585604794</v>
      </c>
      <c r="T33" s="62">
        <f>'Model Inputs'!$F$141/'Model Inputs'!$E$147*MIN(1,MAX(0,'Model Inputs'!$E$147-(T$5-1)))</f>
        <v>43.641042585604794</v>
      </c>
      <c r="U33" s="62">
        <f>'Model Inputs'!$F$141/'Model Inputs'!$E$147*MIN(1,MAX(0,'Model Inputs'!$E$147-(U$5-1)))</f>
        <v>43.641042585604794</v>
      </c>
      <c r="V33" s="62">
        <f>'Model Inputs'!$F$141/'Model Inputs'!$E$147*MIN(1,MAX(0,'Model Inputs'!$E$147-(V$5-1)))</f>
        <v>43.641042585604794</v>
      </c>
      <c r="W33" s="62">
        <f>'Model Inputs'!$F$141/'Model Inputs'!$E$147*MIN(1,MAX(0,'Model Inputs'!$E$147-(W$5-1)))</f>
        <v>43.641042585604794</v>
      </c>
      <c r="X33" s="62">
        <f>'Model Inputs'!$F$141/'Model Inputs'!$E$147*MIN(1,MAX(0,'Model Inputs'!$E$147-(X$5-1)))</f>
        <v>43.641042585604794</v>
      </c>
      <c r="Y33" s="62">
        <f>'Model Inputs'!$F$141/'Model Inputs'!$E$147*MIN(1,MAX(0,'Model Inputs'!$E$147-(Y$5-1)))</f>
        <v>43.641042585604794</v>
      </c>
      <c r="Z33" s="62">
        <f>'Model Inputs'!$F$141/'Model Inputs'!$E$147*MIN(1,MAX(0,'Model Inputs'!$E$147-(Z$5-1)))</f>
        <v>43.641042585604794</v>
      </c>
      <c r="AA33" s="62">
        <f>'Model Inputs'!$F$141/'Model Inputs'!$E$147*MIN(1,MAX(0,'Model Inputs'!$E$147-(AA$5-1)))</f>
        <v>43.641042585604794</v>
      </c>
      <c r="AB33" s="62">
        <f>'Model Inputs'!$F$141/'Model Inputs'!$E$147*MIN(1,MAX(0,'Model Inputs'!$E$147-(AB$5-1)))</f>
        <v>43.641042585604794</v>
      </c>
      <c r="AC33" s="62">
        <f>'Model Inputs'!$F$141/'Model Inputs'!$E$147*MIN(1,MAX(0,'Model Inputs'!$E$147-(AC$5-1)))</f>
        <v>43.641042585604794</v>
      </c>
      <c r="AD33" s="62">
        <f>'Model Inputs'!$F$141/'Model Inputs'!$E$147*MIN(1,MAX(0,'Model Inputs'!$E$147-(AD$5-1)))</f>
        <v>42.69185018867055</v>
      </c>
      <c r="AE33" s="62">
        <f>'Model Inputs'!$F$141/'Model Inputs'!$E$147*MIN(1,MAX(0,'Model Inputs'!$E$147-(AE$5-1)))</f>
        <v>0</v>
      </c>
      <c r="AF33" s="62">
        <f>'Model Inputs'!$F$141/'Model Inputs'!$E$147*MIN(1,MAX(0,'Model Inputs'!$E$147-(AF$5-1)))</f>
        <v>0</v>
      </c>
      <c r="AG33" s="62">
        <f>'Model Inputs'!$F$141/'Model Inputs'!$E$147*MIN(1,MAX(0,'Model Inputs'!$E$147-(AG$5-1)))</f>
        <v>0</v>
      </c>
      <c r="AH33" s="62">
        <f>'Model Inputs'!$F$141/'Model Inputs'!$E$147*MIN(1,MAX(0,'Model Inputs'!$E$147-(AH$5-1)))</f>
        <v>0</v>
      </c>
      <c r="AI33" s="62">
        <f>'Model Inputs'!$F$141/'Model Inputs'!$E$147*MIN(1,MAX(0,'Model Inputs'!$E$147-(AI$5-1)))</f>
        <v>0</v>
      </c>
      <c r="AJ33" s="62">
        <f>'Model Inputs'!$F$141/'Model Inputs'!$E$147*MIN(1,MAX(0,'Model Inputs'!$E$147-(AJ$5-1)))</f>
        <v>0</v>
      </c>
      <c r="AK33" s="62">
        <f>'Model Inputs'!$F$141/'Model Inputs'!$E$147*MIN(1,MAX(0,'Model Inputs'!$E$147-(AK$5-1)))</f>
        <v>0</v>
      </c>
      <c r="AL33" s="62">
        <f>'Model Inputs'!$F$141/'Model Inputs'!$E$147*MIN(1,MAX(0,'Model Inputs'!$E$147-(AL$5-1)))</f>
        <v>0</v>
      </c>
      <c r="AM33" s="62">
        <f>'Model Inputs'!$F$141/'Model Inputs'!$E$147*MIN(1,MAX(0,'Model Inputs'!$E$147-(AM$5-1)))</f>
        <v>0</v>
      </c>
      <c r="AN33" s="62">
        <f>'Model Inputs'!$F$141/'Model Inputs'!$E$147*MIN(1,MAX(0,'Model Inputs'!$E$147-(AN$5-1)))</f>
        <v>0</v>
      </c>
      <c r="AO33" s="62">
        <f>'Model Inputs'!$F$141/'Model Inputs'!$E$147*MIN(1,MAX(0,'Model Inputs'!$E$147-(AO$5-1)))</f>
        <v>0</v>
      </c>
      <c r="AP33" s="62">
        <f>'Model Inputs'!$F$141/'Model Inputs'!$E$147*MIN(1,MAX(0,'Model Inputs'!$E$147-(AP$5-1)))</f>
        <v>0</v>
      </c>
      <c r="AQ33" s="62">
        <f>'Model Inputs'!$F$141/'Model Inputs'!$E$147*MIN(1,MAX(0,'Model Inputs'!$E$147-(AQ$5-1)))</f>
        <v>0</v>
      </c>
      <c r="AR33" s="62">
        <f>'Model Inputs'!$F$141/'Model Inputs'!$E$147*MIN(1,MAX(0,'Model Inputs'!$E$147-(AR$5-1)))</f>
        <v>0</v>
      </c>
      <c r="AS33" s="62">
        <f>'Model Inputs'!$F$141/'Model Inputs'!$E$147*MIN(1,MAX(0,'Model Inputs'!$E$147-(AS$5-1)))</f>
        <v>0</v>
      </c>
      <c r="AT33" s="62">
        <f>'Model Inputs'!$F$141/'Model Inputs'!$E$147*MIN(1,MAX(0,'Model Inputs'!$E$147-(AT$5-1)))</f>
        <v>0</v>
      </c>
      <c r="AU33" s="62">
        <f>'Model Inputs'!$F$141/'Model Inputs'!$E$147*MIN(1,MAX(0,'Model Inputs'!$E$147-(AU$5-1)))</f>
        <v>0</v>
      </c>
      <c r="AV33" s="62">
        <f>'Model Inputs'!$F$141/'Model Inputs'!$E$147*MIN(1,MAX(0,'Model Inputs'!$E$147-(AV$5-1)))</f>
        <v>0</v>
      </c>
      <c r="AW33" s="62">
        <f>'Model Inputs'!$F$141/'Model Inputs'!$E$147*MIN(1,MAX(0,'Model Inputs'!$E$147-(AW$5-1)))</f>
        <v>0</v>
      </c>
      <c r="AX33" s="62">
        <f>'Model Inputs'!$F$141/'Model Inputs'!$E$147*MIN(1,MAX(0,'Model Inputs'!$E$147-(AX$5-1)))</f>
        <v>0</v>
      </c>
      <c r="AY33" s="62">
        <f>'Model Inputs'!$F$141/'Model Inputs'!$E$147*MIN(1,MAX(0,'Model Inputs'!$E$147-(AY$5-1)))</f>
        <v>0</v>
      </c>
      <c r="AZ33" s="62">
        <f>'Model Inputs'!$F$141/'Model Inputs'!$E$147*MIN(1,MAX(0,'Model Inputs'!$E$147-(AZ$5-1)))</f>
        <v>0</v>
      </c>
      <c r="BA33" s="62">
        <f>'Model Inputs'!$F$141/'Model Inputs'!$E$147*MIN(1,MAX(0,'Model Inputs'!$E$147-(BA$5-1)))</f>
        <v>0</v>
      </c>
      <c r="BB33" s="62">
        <f>'Model Inputs'!$F$141/'Model Inputs'!$E$147*MIN(1,MAX(0,'Model Inputs'!$E$147-(BB$5-1)))</f>
        <v>0</v>
      </c>
      <c r="BC33" s="62">
        <f>'Model Inputs'!$F$141/'Model Inputs'!$E$147*MIN(1,MAX(0,'Model Inputs'!$E$147-(BC$5-1)))</f>
        <v>0</v>
      </c>
      <c r="BD33" s="62">
        <f>'Model Inputs'!$F$141/'Model Inputs'!$E$147*MIN(1,MAX(0,'Model Inputs'!$E$147-(BD$5-1)))</f>
        <v>0</v>
      </c>
      <c r="BE33" s="62">
        <f>'Model Inputs'!$F$141/'Model Inputs'!$E$147*MIN(1,MAX(0,'Model Inputs'!$E$147-(BE$5-1)))</f>
        <v>0</v>
      </c>
      <c r="BF33" s="62">
        <f>'Model Inputs'!$F$141/'Model Inputs'!$E$147*MIN(1,MAX(0,'Model Inputs'!$E$147-(BF$5-1)))</f>
        <v>0</v>
      </c>
      <c r="BG33" s="62">
        <f>'Model Inputs'!$F$141/'Model Inputs'!$E$147*MIN(1,MAX(0,'Model Inputs'!$E$147-(BG$5-1)))</f>
        <v>0</v>
      </c>
      <c r="BH33" s="62">
        <f>'Model Inputs'!$F$141/'Model Inputs'!$E$147*MIN(1,MAX(0,'Model Inputs'!$E$147-(BH$5-1)))</f>
        <v>0</v>
      </c>
      <c r="BI33" s="62">
        <f>'Model Inputs'!$F$141/'Model Inputs'!$E$147*MIN(1,MAX(0,'Model Inputs'!$E$147-(BI$5-1)))</f>
        <v>0</v>
      </c>
      <c r="BJ33" s="62">
        <f>'Model Inputs'!$F$141/'Model Inputs'!$E$147*MIN(1,MAX(0,'Model Inputs'!$E$147-(BJ$5-1)))</f>
        <v>0</v>
      </c>
      <c r="BK33" s="62">
        <f>'Model Inputs'!$F$141/'Model Inputs'!$E$147*MIN(1,MAX(0,'Model Inputs'!$E$147-(BK$5-1)))</f>
        <v>0</v>
      </c>
      <c r="BL33" s="62">
        <f>'Model Inputs'!$F$141/'Model Inputs'!$E$147*MIN(1,MAX(0,'Model Inputs'!$E$147-(BL$5-1)))</f>
        <v>0</v>
      </c>
      <c r="BM33" s="62">
        <f>'Model Inputs'!$F$141/'Model Inputs'!$E$147*MIN(1,MAX(0,'Model Inputs'!$E$147-(BM$5-1)))</f>
        <v>0</v>
      </c>
      <c r="BN33" s="62">
        <f>'Model Inputs'!$F$141/'Model Inputs'!$E$147*MIN(1,MAX(0,'Model Inputs'!$E$147-(BN$5-1)))</f>
        <v>0</v>
      </c>
      <c r="BO33" s="62">
        <f>'Model Inputs'!$F$141/'Model Inputs'!$E$147*MIN(1,MAX(0,'Model Inputs'!$E$147-(BO$5-1)))</f>
        <v>0</v>
      </c>
    </row>
    <row r="34" spans="1:67" ht="15" customHeight="1" x14ac:dyDescent="0.2">
      <c r="A34" s="14" t="s">
        <v>204</v>
      </c>
      <c r="B34" s="61">
        <f t="shared" si="2"/>
        <v>27973.999999999985</v>
      </c>
      <c r="C34" s="62">
        <f>'Model Inputs'!$F$142/'Model Inputs'!$E$147*MIN(1,MAX(0,'Model Inputs'!$E$147-(C$5-1)))</f>
        <v>999.84809606036731</v>
      </c>
      <c r="D34" s="62">
        <f>'Model Inputs'!$F$142/'Model Inputs'!$E$147*MIN(1,MAX(0,'Model Inputs'!$E$147-(D$5-1)))</f>
        <v>999.84809606036731</v>
      </c>
      <c r="E34" s="62">
        <f>'Model Inputs'!$F$142/'Model Inputs'!$E$147*MIN(1,MAX(0,'Model Inputs'!$E$147-(E$5-1)))</f>
        <v>999.84809606036731</v>
      </c>
      <c r="F34" s="62">
        <f>'Model Inputs'!$F$142/'Model Inputs'!$E$147*MIN(1,MAX(0,'Model Inputs'!$E$147-(F$5-1)))</f>
        <v>999.84809606036731</v>
      </c>
      <c r="G34" s="62">
        <f>'Model Inputs'!$F$142/'Model Inputs'!$E$147*MIN(1,MAX(0,'Model Inputs'!$E$147-(G$5-1)))</f>
        <v>999.84809606036731</v>
      </c>
      <c r="H34" s="62">
        <f>'Model Inputs'!$F$142/'Model Inputs'!$E$147*MIN(1,MAX(0,'Model Inputs'!$E$147-(H$5-1)))</f>
        <v>999.84809606036731</v>
      </c>
      <c r="I34" s="62">
        <f>'Model Inputs'!$F$142/'Model Inputs'!$E$147*MIN(1,MAX(0,'Model Inputs'!$E$147-(I$5-1)))</f>
        <v>999.84809606036731</v>
      </c>
      <c r="J34" s="62">
        <f>'Model Inputs'!$F$142/'Model Inputs'!$E$147*MIN(1,MAX(0,'Model Inputs'!$E$147-(J$5-1)))</f>
        <v>999.84809606036731</v>
      </c>
      <c r="K34" s="62">
        <f>'Model Inputs'!$F$142/'Model Inputs'!$E$147*MIN(1,MAX(0,'Model Inputs'!$E$147-(K$5-1)))</f>
        <v>999.84809606036731</v>
      </c>
      <c r="L34" s="62">
        <f>'Model Inputs'!$F$142/'Model Inputs'!$E$147*MIN(1,MAX(0,'Model Inputs'!$E$147-(L$5-1)))</f>
        <v>999.84809606036731</v>
      </c>
      <c r="M34" s="62">
        <f>'Model Inputs'!$F$142/'Model Inputs'!$E$147*MIN(1,MAX(0,'Model Inputs'!$E$147-(M$5-1)))</f>
        <v>999.84809606036731</v>
      </c>
      <c r="N34" s="62">
        <f>'Model Inputs'!$F$142/'Model Inputs'!$E$147*MIN(1,MAX(0,'Model Inputs'!$E$147-(N$5-1)))</f>
        <v>999.84809606036731</v>
      </c>
      <c r="O34" s="62">
        <f>'Model Inputs'!$F$142/'Model Inputs'!$E$147*MIN(1,MAX(0,'Model Inputs'!$E$147-(O$5-1)))</f>
        <v>999.84809606036731</v>
      </c>
      <c r="P34" s="62">
        <f>'Model Inputs'!$F$142/'Model Inputs'!$E$147*MIN(1,MAX(0,'Model Inputs'!$E$147-(P$5-1)))</f>
        <v>999.84809606036731</v>
      </c>
      <c r="Q34" s="62">
        <f>'Model Inputs'!$F$142/'Model Inputs'!$E$147*MIN(1,MAX(0,'Model Inputs'!$E$147-(Q$5-1)))</f>
        <v>999.84809606036731</v>
      </c>
      <c r="R34" s="62">
        <f>'Model Inputs'!$F$142/'Model Inputs'!$E$147*MIN(1,MAX(0,'Model Inputs'!$E$147-(R$5-1)))</f>
        <v>999.84809606036731</v>
      </c>
      <c r="S34" s="62">
        <f>'Model Inputs'!$F$142/'Model Inputs'!$E$147*MIN(1,MAX(0,'Model Inputs'!$E$147-(S$5-1)))</f>
        <v>999.84809606036731</v>
      </c>
      <c r="T34" s="62">
        <f>'Model Inputs'!$F$142/'Model Inputs'!$E$147*MIN(1,MAX(0,'Model Inputs'!$E$147-(T$5-1)))</f>
        <v>999.84809606036731</v>
      </c>
      <c r="U34" s="62">
        <f>'Model Inputs'!$F$142/'Model Inputs'!$E$147*MIN(1,MAX(0,'Model Inputs'!$E$147-(U$5-1)))</f>
        <v>999.84809606036731</v>
      </c>
      <c r="V34" s="62">
        <f>'Model Inputs'!$F$142/'Model Inputs'!$E$147*MIN(1,MAX(0,'Model Inputs'!$E$147-(V$5-1)))</f>
        <v>999.84809606036731</v>
      </c>
      <c r="W34" s="62">
        <f>'Model Inputs'!$F$142/'Model Inputs'!$E$147*MIN(1,MAX(0,'Model Inputs'!$E$147-(W$5-1)))</f>
        <v>999.84809606036731</v>
      </c>
      <c r="X34" s="62">
        <f>'Model Inputs'!$F$142/'Model Inputs'!$E$147*MIN(1,MAX(0,'Model Inputs'!$E$147-(X$5-1)))</f>
        <v>999.84809606036731</v>
      </c>
      <c r="Y34" s="62">
        <f>'Model Inputs'!$F$142/'Model Inputs'!$E$147*MIN(1,MAX(0,'Model Inputs'!$E$147-(Y$5-1)))</f>
        <v>999.84809606036731</v>
      </c>
      <c r="Z34" s="62">
        <f>'Model Inputs'!$F$142/'Model Inputs'!$E$147*MIN(1,MAX(0,'Model Inputs'!$E$147-(Z$5-1)))</f>
        <v>999.84809606036731</v>
      </c>
      <c r="AA34" s="62">
        <f>'Model Inputs'!$F$142/'Model Inputs'!$E$147*MIN(1,MAX(0,'Model Inputs'!$E$147-(AA$5-1)))</f>
        <v>999.84809606036731</v>
      </c>
      <c r="AB34" s="62">
        <f>'Model Inputs'!$F$142/'Model Inputs'!$E$147*MIN(1,MAX(0,'Model Inputs'!$E$147-(AB$5-1)))</f>
        <v>999.84809606036731</v>
      </c>
      <c r="AC34" s="62">
        <f>'Model Inputs'!$F$142/'Model Inputs'!$E$147*MIN(1,MAX(0,'Model Inputs'!$E$147-(AC$5-1)))</f>
        <v>999.84809606036731</v>
      </c>
      <c r="AD34" s="62">
        <f>'Model Inputs'!$F$142/'Model Inputs'!$E$147*MIN(1,MAX(0,'Model Inputs'!$E$147-(AD$5-1)))</f>
        <v>978.1014063700818</v>
      </c>
      <c r="AE34" s="62">
        <f>'Model Inputs'!$F$142/'Model Inputs'!$E$147*MIN(1,MAX(0,'Model Inputs'!$E$147-(AE$5-1)))</f>
        <v>0</v>
      </c>
      <c r="AF34" s="62">
        <f>'Model Inputs'!$F$142/'Model Inputs'!$E$147*MIN(1,MAX(0,'Model Inputs'!$E$147-(AF$5-1)))</f>
        <v>0</v>
      </c>
      <c r="AG34" s="62">
        <f>'Model Inputs'!$F$142/'Model Inputs'!$E$147*MIN(1,MAX(0,'Model Inputs'!$E$147-(AG$5-1)))</f>
        <v>0</v>
      </c>
      <c r="AH34" s="62">
        <f>'Model Inputs'!$F$142/'Model Inputs'!$E$147*MIN(1,MAX(0,'Model Inputs'!$E$147-(AH$5-1)))</f>
        <v>0</v>
      </c>
      <c r="AI34" s="62">
        <f>'Model Inputs'!$F$142/'Model Inputs'!$E$147*MIN(1,MAX(0,'Model Inputs'!$E$147-(AI$5-1)))</f>
        <v>0</v>
      </c>
      <c r="AJ34" s="62">
        <f>'Model Inputs'!$F$142/'Model Inputs'!$E$147*MIN(1,MAX(0,'Model Inputs'!$E$147-(AJ$5-1)))</f>
        <v>0</v>
      </c>
      <c r="AK34" s="62">
        <f>'Model Inputs'!$F$142/'Model Inputs'!$E$147*MIN(1,MAX(0,'Model Inputs'!$E$147-(AK$5-1)))</f>
        <v>0</v>
      </c>
      <c r="AL34" s="62">
        <f>'Model Inputs'!$F$142/'Model Inputs'!$E$147*MIN(1,MAX(0,'Model Inputs'!$E$147-(AL$5-1)))</f>
        <v>0</v>
      </c>
      <c r="AM34" s="62">
        <f>'Model Inputs'!$F$142/'Model Inputs'!$E$147*MIN(1,MAX(0,'Model Inputs'!$E$147-(AM$5-1)))</f>
        <v>0</v>
      </c>
      <c r="AN34" s="62">
        <f>'Model Inputs'!$F$142/'Model Inputs'!$E$147*MIN(1,MAX(0,'Model Inputs'!$E$147-(AN$5-1)))</f>
        <v>0</v>
      </c>
      <c r="AO34" s="62">
        <f>'Model Inputs'!$F$142/'Model Inputs'!$E$147*MIN(1,MAX(0,'Model Inputs'!$E$147-(AO$5-1)))</f>
        <v>0</v>
      </c>
      <c r="AP34" s="62">
        <f>'Model Inputs'!$F$142/'Model Inputs'!$E$147*MIN(1,MAX(0,'Model Inputs'!$E$147-(AP$5-1)))</f>
        <v>0</v>
      </c>
      <c r="AQ34" s="62">
        <f>'Model Inputs'!$F$142/'Model Inputs'!$E$147*MIN(1,MAX(0,'Model Inputs'!$E$147-(AQ$5-1)))</f>
        <v>0</v>
      </c>
      <c r="AR34" s="62">
        <f>'Model Inputs'!$F$142/'Model Inputs'!$E$147*MIN(1,MAX(0,'Model Inputs'!$E$147-(AR$5-1)))</f>
        <v>0</v>
      </c>
      <c r="AS34" s="62">
        <f>'Model Inputs'!$F$142/'Model Inputs'!$E$147*MIN(1,MAX(0,'Model Inputs'!$E$147-(AS$5-1)))</f>
        <v>0</v>
      </c>
      <c r="AT34" s="62">
        <f>'Model Inputs'!$F$142/'Model Inputs'!$E$147*MIN(1,MAX(0,'Model Inputs'!$E$147-(AT$5-1)))</f>
        <v>0</v>
      </c>
      <c r="AU34" s="62">
        <f>'Model Inputs'!$F$142/'Model Inputs'!$E$147*MIN(1,MAX(0,'Model Inputs'!$E$147-(AU$5-1)))</f>
        <v>0</v>
      </c>
      <c r="AV34" s="62">
        <f>'Model Inputs'!$F$142/'Model Inputs'!$E$147*MIN(1,MAX(0,'Model Inputs'!$E$147-(AV$5-1)))</f>
        <v>0</v>
      </c>
      <c r="AW34" s="62">
        <f>'Model Inputs'!$F$142/'Model Inputs'!$E$147*MIN(1,MAX(0,'Model Inputs'!$E$147-(AW$5-1)))</f>
        <v>0</v>
      </c>
      <c r="AX34" s="62">
        <f>'Model Inputs'!$F$142/'Model Inputs'!$E$147*MIN(1,MAX(0,'Model Inputs'!$E$147-(AX$5-1)))</f>
        <v>0</v>
      </c>
      <c r="AY34" s="62">
        <f>'Model Inputs'!$F$142/'Model Inputs'!$E$147*MIN(1,MAX(0,'Model Inputs'!$E$147-(AY$5-1)))</f>
        <v>0</v>
      </c>
      <c r="AZ34" s="62">
        <f>'Model Inputs'!$F$142/'Model Inputs'!$E$147*MIN(1,MAX(0,'Model Inputs'!$E$147-(AZ$5-1)))</f>
        <v>0</v>
      </c>
      <c r="BA34" s="62">
        <f>'Model Inputs'!$F$142/'Model Inputs'!$E$147*MIN(1,MAX(0,'Model Inputs'!$E$147-(BA$5-1)))</f>
        <v>0</v>
      </c>
      <c r="BB34" s="62">
        <f>'Model Inputs'!$F$142/'Model Inputs'!$E$147*MIN(1,MAX(0,'Model Inputs'!$E$147-(BB$5-1)))</f>
        <v>0</v>
      </c>
      <c r="BC34" s="62">
        <f>'Model Inputs'!$F$142/'Model Inputs'!$E$147*MIN(1,MAX(0,'Model Inputs'!$E$147-(BC$5-1)))</f>
        <v>0</v>
      </c>
      <c r="BD34" s="62">
        <f>'Model Inputs'!$F$142/'Model Inputs'!$E$147*MIN(1,MAX(0,'Model Inputs'!$E$147-(BD$5-1)))</f>
        <v>0</v>
      </c>
      <c r="BE34" s="62">
        <f>'Model Inputs'!$F$142/'Model Inputs'!$E$147*MIN(1,MAX(0,'Model Inputs'!$E$147-(BE$5-1)))</f>
        <v>0</v>
      </c>
      <c r="BF34" s="62">
        <f>'Model Inputs'!$F$142/'Model Inputs'!$E$147*MIN(1,MAX(0,'Model Inputs'!$E$147-(BF$5-1)))</f>
        <v>0</v>
      </c>
      <c r="BG34" s="62">
        <f>'Model Inputs'!$F$142/'Model Inputs'!$E$147*MIN(1,MAX(0,'Model Inputs'!$E$147-(BG$5-1)))</f>
        <v>0</v>
      </c>
      <c r="BH34" s="62">
        <f>'Model Inputs'!$F$142/'Model Inputs'!$E$147*MIN(1,MAX(0,'Model Inputs'!$E$147-(BH$5-1)))</f>
        <v>0</v>
      </c>
      <c r="BI34" s="62">
        <f>'Model Inputs'!$F$142/'Model Inputs'!$E$147*MIN(1,MAX(0,'Model Inputs'!$E$147-(BI$5-1)))</f>
        <v>0</v>
      </c>
      <c r="BJ34" s="62">
        <f>'Model Inputs'!$F$142/'Model Inputs'!$E$147*MIN(1,MAX(0,'Model Inputs'!$E$147-(BJ$5-1)))</f>
        <v>0</v>
      </c>
      <c r="BK34" s="62">
        <f>'Model Inputs'!$F$142/'Model Inputs'!$E$147*MIN(1,MAX(0,'Model Inputs'!$E$147-(BK$5-1)))</f>
        <v>0</v>
      </c>
      <c r="BL34" s="62">
        <f>'Model Inputs'!$F$142/'Model Inputs'!$E$147*MIN(1,MAX(0,'Model Inputs'!$E$147-(BL$5-1)))</f>
        <v>0</v>
      </c>
      <c r="BM34" s="62">
        <f>'Model Inputs'!$F$142/'Model Inputs'!$E$147*MIN(1,MAX(0,'Model Inputs'!$E$147-(BM$5-1)))</f>
        <v>0</v>
      </c>
      <c r="BN34" s="62">
        <f>'Model Inputs'!$F$142/'Model Inputs'!$E$147*MIN(1,MAX(0,'Model Inputs'!$E$147-(BN$5-1)))</f>
        <v>0</v>
      </c>
      <c r="BO34" s="62">
        <f>'Model Inputs'!$F$142/'Model Inputs'!$E$147*MIN(1,MAX(0,'Model Inputs'!$E$147-(BO$5-1)))</f>
        <v>0</v>
      </c>
    </row>
    <row r="35" spans="1:67" ht="15" customHeight="1" x14ac:dyDescent="0.2">
      <c r="A35" s="29" t="s">
        <v>205</v>
      </c>
      <c r="B35" s="61">
        <f t="shared" si="2"/>
        <v>20750.333333333354</v>
      </c>
      <c r="C35" s="61">
        <f t="shared" ref="C35:AH35" si="3">SUM(C27:C33)+C34/6</f>
        <v>589.34725217384721</v>
      </c>
      <c r="D35" s="61">
        <f t="shared" si="3"/>
        <v>589.34725217384721</v>
      </c>
      <c r="E35" s="61">
        <f t="shared" si="3"/>
        <v>589.34725217384721</v>
      </c>
      <c r="F35" s="61">
        <f t="shared" si="3"/>
        <v>589.34725217384721</v>
      </c>
      <c r="G35" s="61">
        <f t="shared" si="3"/>
        <v>589.34725217384721</v>
      </c>
      <c r="H35" s="61">
        <f t="shared" si="3"/>
        <v>589.34725217384721</v>
      </c>
      <c r="I35" s="61">
        <f t="shared" si="3"/>
        <v>589.34725217384721</v>
      </c>
      <c r="J35" s="61">
        <f t="shared" si="3"/>
        <v>589.34725217384721</v>
      </c>
      <c r="K35" s="61">
        <f t="shared" si="3"/>
        <v>589.34725217384721</v>
      </c>
      <c r="L35" s="61">
        <f t="shared" si="3"/>
        <v>589.34725217384721</v>
      </c>
      <c r="M35" s="61">
        <f t="shared" si="3"/>
        <v>589.34725217384721</v>
      </c>
      <c r="N35" s="61">
        <f t="shared" si="3"/>
        <v>589.34725217384721</v>
      </c>
      <c r="O35" s="61">
        <f t="shared" si="3"/>
        <v>589.34725217384721</v>
      </c>
      <c r="P35" s="61">
        <f t="shared" si="3"/>
        <v>589.34725217384721</v>
      </c>
      <c r="Q35" s="61">
        <f t="shared" si="3"/>
        <v>589.34725217384721</v>
      </c>
      <c r="R35" s="61">
        <f t="shared" si="3"/>
        <v>589.34725217384721</v>
      </c>
      <c r="S35" s="61">
        <f t="shared" si="3"/>
        <v>589.34725217384721</v>
      </c>
      <c r="T35" s="61">
        <f t="shared" si="3"/>
        <v>589.34725217384721</v>
      </c>
      <c r="U35" s="61">
        <f t="shared" si="3"/>
        <v>589.34725217384721</v>
      </c>
      <c r="V35" s="61">
        <f t="shared" si="3"/>
        <v>589.34725217384721</v>
      </c>
      <c r="W35" s="61">
        <f t="shared" si="3"/>
        <v>589.34725217384721</v>
      </c>
      <c r="X35" s="61">
        <f t="shared" si="3"/>
        <v>589.34725217384721</v>
      </c>
      <c r="Y35" s="61">
        <f t="shared" si="3"/>
        <v>589.34725217384721</v>
      </c>
      <c r="Z35" s="61">
        <f t="shared" si="3"/>
        <v>589.34725217384721</v>
      </c>
      <c r="AA35" s="61">
        <f t="shared" si="3"/>
        <v>589.34725217384721</v>
      </c>
      <c r="AB35" s="61">
        <f t="shared" si="3"/>
        <v>589.34725217384721</v>
      </c>
      <c r="AC35" s="61">
        <f t="shared" si="3"/>
        <v>589.34725217384721</v>
      </c>
      <c r="AD35" s="61">
        <f t="shared" si="3"/>
        <v>583.91148670551797</v>
      </c>
      <c r="AE35" s="61">
        <f t="shared" si="3"/>
        <v>339.42692721664497</v>
      </c>
      <c r="AF35" s="61">
        <f t="shared" si="3"/>
        <v>339.42692721664497</v>
      </c>
      <c r="AG35" s="61">
        <f t="shared" si="3"/>
        <v>339.42692721664497</v>
      </c>
      <c r="AH35" s="61">
        <f t="shared" si="3"/>
        <v>339.42692721664497</v>
      </c>
      <c r="AI35" s="61">
        <f t="shared" ref="AI35:BN35" si="4">SUM(AI27:AI33)+AI34/6</f>
        <v>339.42692721664497</v>
      </c>
      <c r="AJ35" s="61">
        <f t="shared" si="4"/>
        <v>339.42692721664497</v>
      </c>
      <c r="AK35" s="61">
        <f t="shared" si="4"/>
        <v>339.42692721664497</v>
      </c>
      <c r="AL35" s="61">
        <f t="shared" si="4"/>
        <v>339.42692721664497</v>
      </c>
      <c r="AM35" s="61">
        <f t="shared" si="4"/>
        <v>274.32144930043194</v>
      </c>
      <c r="AN35" s="61">
        <f t="shared" si="4"/>
        <v>105.69434673242299</v>
      </c>
      <c r="AO35" s="61">
        <f t="shared" si="4"/>
        <v>105.69434673242299</v>
      </c>
      <c r="AP35" s="61">
        <f t="shared" si="4"/>
        <v>105.69434673242299</v>
      </c>
      <c r="AQ35" s="61">
        <f t="shared" si="4"/>
        <v>105.69434673242299</v>
      </c>
      <c r="AR35" s="61">
        <f t="shared" si="4"/>
        <v>105.69434673242299</v>
      </c>
      <c r="AS35" s="61">
        <f t="shared" si="4"/>
        <v>105.69434673242299</v>
      </c>
      <c r="AT35" s="61">
        <f t="shared" si="4"/>
        <v>105.69434673242299</v>
      </c>
      <c r="AU35" s="61">
        <f t="shared" si="4"/>
        <v>105.69434673242299</v>
      </c>
      <c r="AV35" s="61">
        <f t="shared" si="4"/>
        <v>105.69434673242299</v>
      </c>
      <c r="AW35" s="61">
        <f t="shared" si="4"/>
        <v>105.69434673242299</v>
      </c>
      <c r="AX35" s="61">
        <f t="shared" si="4"/>
        <v>105.69434673242299</v>
      </c>
      <c r="AY35" s="61">
        <f t="shared" si="4"/>
        <v>101.67135684369667</v>
      </c>
      <c r="AZ35" s="61">
        <f t="shared" si="4"/>
        <v>0</v>
      </c>
      <c r="BA35" s="61">
        <f t="shared" si="4"/>
        <v>0</v>
      </c>
      <c r="BB35" s="61">
        <f t="shared" si="4"/>
        <v>0</v>
      </c>
      <c r="BC35" s="61">
        <f t="shared" si="4"/>
        <v>0</v>
      </c>
      <c r="BD35" s="61">
        <f t="shared" si="4"/>
        <v>0</v>
      </c>
      <c r="BE35" s="61">
        <f t="shared" si="4"/>
        <v>0</v>
      </c>
      <c r="BF35" s="61">
        <f t="shared" si="4"/>
        <v>0</v>
      </c>
      <c r="BG35" s="61">
        <f t="shared" si="4"/>
        <v>0</v>
      </c>
      <c r="BH35" s="61">
        <f t="shared" si="4"/>
        <v>0</v>
      </c>
      <c r="BI35" s="61">
        <f t="shared" si="4"/>
        <v>0</v>
      </c>
      <c r="BJ35" s="61">
        <f t="shared" si="4"/>
        <v>0</v>
      </c>
      <c r="BK35" s="61">
        <f t="shared" si="4"/>
        <v>0</v>
      </c>
      <c r="BL35" s="61">
        <f t="shared" si="4"/>
        <v>0</v>
      </c>
      <c r="BM35" s="61">
        <f t="shared" si="4"/>
        <v>0</v>
      </c>
      <c r="BN35" s="61">
        <f t="shared" si="4"/>
        <v>0</v>
      </c>
      <c r="BO35" s="61">
        <f t="shared" ref="BO35" si="5">SUM(BO27:BO33)+BO34/6</f>
        <v>0</v>
      </c>
    </row>
    <row r="36" spans="1:67" ht="15" customHeight="1" x14ac:dyDescent="0.2">
      <c r="A36" s="29" t="s">
        <v>206</v>
      </c>
      <c r="B36" s="63"/>
      <c r="C36" s="64">
        <f t="shared" ref="C36:AH36" si="6">C35*1000/365</f>
        <v>1614.6500059557457</v>
      </c>
      <c r="D36" s="64">
        <f t="shared" si="6"/>
        <v>1614.6500059557457</v>
      </c>
      <c r="E36" s="64">
        <f t="shared" si="6"/>
        <v>1614.6500059557457</v>
      </c>
      <c r="F36" s="64">
        <f t="shared" si="6"/>
        <v>1614.6500059557457</v>
      </c>
      <c r="G36" s="64">
        <f t="shared" si="6"/>
        <v>1614.6500059557457</v>
      </c>
      <c r="H36" s="64">
        <f t="shared" si="6"/>
        <v>1614.6500059557457</v>
      </c>
      <c r="I36" s="64">
        <f t="shared" si="6"/>
        <v>1614.6500059557457</v>
      </c>
      <c r="J36" s="64">
        <f t="shared" si="6"/>
        <v>1614.6500059557457</v>
      </c>
      <c r="K36" s="64">
        <f t="shared" si="6"/>
        <v>1614.6500059557457</v>
      </c>
      <c r="L36" s="64">
        <f t="shared" si="6"/>
        <v>1614.6500059557457</v>
      </c>
      <c r="M36" s="64">
        <f t="shared" si="6"/>
        <v>1614.6500059557457</v>
      </c>
      <c r="N36" s="64">
        <f t="shared" si="6"/>
        <v>1614.6500059557457</v>
      </c>
      <c r="O36" s="64">
        <f t="shared" si="6"/>
        <v>1614.6500059557457</v>
      </c>
      <c r="P36" s="64">
        <f t="shared" si="6"/>
        <v>1614.6500059557457</v>
      </c>
      <c r="Q36" s="64">
        <f t="shared" si="6"/>
        <v>1614.6500059557457</v>
      </c>
      <c r="R36" s="64">
        <f t="shared" si="6"/>
        <v>1614.6500059557457</v>
      </c>
      <c r="S36" s="64">
        <f t="shared" si="6"/>
        <v>1614.6500059557457</v>
      </c>
      <c r="T36" s="64">
        <f t="shared" si="6"/>
        <v>1614.6500059557457</v>
      </c>
      <c r="U36" s="64">
        <f t="shared" si="6"/>
        <v>1614.6500059557457</v>
      </c>
      <c r="V36" s="64">
        <f t="shared" si="6"/>
        <v>1614.6500059557457</v>
      </c>
      <c r="W36" s="64">
        <f t="shared" si="6"/>
        <v>1614.6500059557457</v>
      </c>
      <c r="X36" s="64">
        <f t="shared" si="6"/>
        <v>1614.6500059557457</v>
      </c>
      <c r="Y36" s="64">
        <f t="shared" si="6"/>
        <v>1614.6500059557457</v>
      </c>
      <c r="Z36" s="64">
        <f t="shared" si="6"/>
        <v>1614.6500059557457</v>
      </c>
      <c r="AA36" s="64">
        <f t="shared" si="6"/>
        <v>1614.6500059557457</v>
      </c>
      <c r="AB36" s="64">
        <f t="shared" si="6"/>
        <v>1614.6500059557457</v>
      </c>
      <c r="AC36" s="64">
        <f t="shared" si="6"/>
        <v>1614.6500059557457</v>
      </c>
      <c r="AD36" s="64">
        <f t="shared" si="6"/>
        <v>1599.757497823337</v>
      </c>
      <c r="AE36" s="64">
        <f t="shared" si="6"/>
        <v>929.93678689491776</v>
      </c>
      <c r="AF36" s="64">
        <f t="shared" si="6"/>
        <v>929.93678689491776</v>
      </c>
      <c r="AG36" s="64">
        <f t="shared" si="6"/>
        <v>929.93678689491776</v>
      </c>
      <c r="AH36" s="64">
        <f t="shared" si="6"/>
        <v>929.93678689491776</v>
      </c>
      <c r="AI36" s="64">
        <f t="shared" ref="AI36:BN36" si="7">AI35*1000/365</f>
        <v>929.93678689491776</v>
      </c>
      <c r="AJ36" s="64">
        <f t="shared" si="7"/>
        <v>929.93678689491776</v>
      </c>
      <c r="AK36" s="64">
        <f t="shared" si="7"/>
        <v>929.93678689491776</v>
      </c>
      <c r="AL36" s="64">
        <f t="shared" si="7"/>
        <v>929.93678689491776</v>
      </c>
      <c r="AM36" s="64">
        <f t="shared" si="7"/>
        <v>751.56561452173139</v>
      </c>
      <c r="AN36" s="64">
        <f t="shared" si="7"/>
        <v>289.57355269156983</v>
      </c>
      <c r="AO36" s="64">
        <f t="shared" si="7"/>
        <v>289.57355269156983</v>
      </c>
      <c r="AP36" s="64">
        <f t="shared" si="7"/>
        <v>289.57355269156983</v>
      </c>
      <c r="AQ36" s="65">
        <f t="shared" si="7"/>
        <v>289.57355269156983</v>
      </c>
      <c r="AR36" s="65">
        <f t="shared" si="7"/>
        <v>289.57355269156983</v>
      </c>
      <c r="AS36" s="65">
        <f t="shared" si="7"/>
        <v>289.57355269156983</v>
      </c>
      <c r="AT36" s="65">
        <f t="shared" si="7"/>
        <v>289.57355269156983</v>
      </c>
      <c r="AU36" s="65">
        <f t="shared" si="7"/>
        <v>289.57355269156983</v>
      </c>
      <c r="AV36" s="65">
        <f t="shared" si="7"/>
        <v>289.57355269156983</v>
      </c>
      <c r="AW36" s="65">
        <f t="shared" si="7"/>
        <v>289.57355269156983</v>
      </c>
      <c r="AX36" s="65">
        <f t="shared" si="7"/>
        <v>289.57355269156983</v>
      </c>
      <c r="AY36" s="65">
        <f t="shared" si="7"/>
        <v>278.55166258547035</v>
      </c>
      <c r="AZ36" s="65">
        <f t="shared" si="7"/>
        <v>0</v>
      </c>
      <c r="BA36" s="65">
        <f t="shared" si="7"/>
        <v>0</v>
      </c>
      <c r="BB36" s="65">
        <f t="shared" si="7"/>
        <v>0</v>
      </c>
      <c r="BC36" s="65">
        <f t="shared" si="7"/>
        <v>0</v>
      </c>
      <c r="BD36" s="65">
        <f t="shared" si="7"/>
        <v>0</v>
      </c>
      <c r="BE36" s="65">
        <f t="shared" si="7"/>
        <v>0</v>
      </c>
      <c r="BF36" s="65">
        <f t="shared" si="7"/>
        <v>0</v>
      </c>
      <c r="BG36" s="65">
        <f t="shared" si="7"/>
        <v>0</v>
      </c>
      <c r="BH36" s="65">
        <f t="shared" si="7"/>
        <v>0</v>
      </c>
      <c r="BI36" s="65">
        <f t="shared" si="7"/>
        <v>0</v>
      </c>
      <c r="BJ36" s="65">
        <f t="shared" si="7"/>
        <v>0</v>
      </c>
      <c r="BK36" s="65">
        <f t="shared" si="7"/>
        <v>0</v>
      </c>
      <c r="BL36" s="65">
        <f t="shared" si="7"/>
        <v>0</v>
      </c>
      <c r="BM36" s="65">
        <f t="shared" si="7"/>
        <v>0</v>
      </c>
      <c r="BN36" s="65">
        <f t="shared" si="7"/>
        <v>0</v>
      </c>
      <c r="BO36" s="65">
        <f t="shared" ref="BO36" si="8">BO35*1000/365</f>
        <v>0</v>
      </c>
    </row>
    <row r="37" spans="1:67" ht="15" customHeight="1" x14ac:dyDescent="0.2">
      <c r="A37" s="14" t="s">
        <v>207</v>
      </c>
      <c r="B37" s="62">
        <f>B35-'Model Inputs'!F143</f>
        <v>0</v>
      </c>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row>
    <row r="39" spans="1:67" ht="15" customHeight="1" x14ac:dyDescent="0.2">
      <c r="A39" s="29" t="s">
        <v>208</v>
      </c>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row>
    <row r="40" spans="1:67" ht="15" customHeight="1" x14ac:dyDescent="0.2">
      <c r="A40" s="14" t="s">
        <v>209</v>
      </c>
      <c r="B40" s="66">
        <f t="shared" ref="B40:B48" si="9">SUM(C40:BO40)</f>
        <v>46942.208537983832</v>
      </c>
      <c r="C40" s="67">
        <f t="shared" ref="C40:AH40" si="10">C27*C17</f>
        <v>1363.3785705440694</v>
      </c>
      <c r="D40" s="65">
        <f t="shared" si="10"/>
        <v>1335.1441384470193</v>
      </c>
      <c r="E40" s="65">
        <f t="shared" si="10"/>
        <v>1332.3249851081637</v>
      </c>
      <c r="F40" s="65">
        <f t="shared" si="10"/>
        <v>1315.9156858994145</v>
      </c>
      <c r="G40" s="65">
        <f t="shared" si="10"/>
        <v>1344.6319595147254</v>
      </c>
      <c r="H40" s="65">
        <f t="shared" si="10"/>
        <v>1373.8192407925096</v>
      </c>
      <c r="I40" s="65">
        <f t="shared" si="10"/>
        <v>1403.5902676958497</v>
      </c>
      <c r="J40" s="65">
        <f t="shared" si="10"/>
        <v>1433.9567151372564</v>
      </c>
      <c r="K40" s="65">
        <f t="shared" si="10"/>
        <v>1464.9304915274913</v>
      </c>
      <c r="L40" s="65">
        <f t="shared" si="10"/>
        <v>1496.5237434455307</v>
      </c>
      <c r="M40" s="65">
        <f t="shared" si="10"/>
        <v>1528.7488604019311</v>
      </c>
      <c r="N40" s="65">
        <f t="shared" si="10"/>
        <v>1561.6184796974596</v>
      </c>
      <c r="O40" s="65">
        <f t="shared" si="10"/>
        <v>1595.1454913788987</v>
      </c>
      <c r="P40" s="65">
        <f t="shared" si="10"/>
        <v>1629.3430432939663</v>
      </c>
      <c r="Q40" s="65">
        <f t="shared" si="10"/>
        <v>1664.2245462473354</v>
      </c>
      <c r="R40" s="65">
        <f t="shared" si="10"/>
        <v>1699.8036792597716</v>
      </c>
      <c r="S40" s="65">
        <f t="shared" si="10"/>
        <v>1736.0943949324569</v>
      </c>
      <c r="T40" s="65">
        <f t="shared" si="10"/>
        <v>1773.1109249185959</v>
      </c>
      <c r="U40" s="65">
        <f t="shared" si="10"/>
        <v>1810.8677855044575</v>
      </c>
      <c r="V40" s="65">
        <f t="shared" si="10"/>
        <v>1849.3797833020367</v>
      </c>
      <c r="W40" s="65">
        <f t="shared" si="10"/>
        <v>1888.6620210555673</v>
      </c>
      <c r="X40" s="65">
        <f t="shared" si="10"/>
        <v>1928.7299035641686</v>
      </c>
      <c r="Y40" s="65">
        <f t="shared" si="10"/>
        <v>1969.5991437229418</v>
      </c>
      <c r="Z40" s="65">
        <f t="shared" si="10"/>
        <v>2011.2857686848904</v>
      </c>
      <c r="AA40" s="65">
        <f t="shared" si="10"/>
        <v>2053.806126146078</v>
      </c>
      <c r="AB40" s="65">
        <f t="shared" si="10"/>
        <v>2097.1768907564892</v>
      </c>
      <c r="AC40" s="65">
        <f t="shared" si="10"/>
        <v>2141.415070659109</v>
      </c>
      <c r="AD40" s="65">
        <f t="shared" si="10"/>
        <v>2138.980826345648</v>
      </c>
      <c r="AE40" s="65">
        <f t="shared" si="10"/>
        <v>0</v>
      </c>
      <c r="AF40" s="65">
        <f t="shared" si="10"/>
        <v>0</v>
      </c>
      <c r="AG40" s="65">
        <f t="shared" si="10"/>
        <v>0</v>
      </c>
      <c r="AH40" s="65">
        <f t="shared" si="10"/>
        <v>0</v>
      </c>
      <c r="AI40" s="65">
        <f t="shared" ref="AI40:BO40" si="11">AI27*AI17</f>
        <v>0</v>
      </c>
      <c r="AJ40" s="65">
        <f t="shared" si="11"/>
        <v>0</v>
      </c>
      <c r="AK40" s="65">
        <f t="shared" si="11"/>
        <v>0</v>
      </c>
      <c r="AL40" s="65">
        <f t="shared" si="11"/>
        <v>0</v>
      </c>
      <c r="AM40" s="65">
        <f t="shared" si="11"/>
        <v>0</v>
      </c>
      <c r="AN40" s="65">
        <f t="shared" si="11"/>
        <v>0</v>
      </c>
      <c r="AO40" s="65">
        <f t="shared" si="11"/>
        <v>0</v>
      </c>
      <c r="AP40" s="65">
        <f t="shared" si="11"/>
        <v>0</v>
      </c>
      <c r="AQ40" s="65">
        <f t="shared" si="11"/>
        <v>0</v>
      </c>
      <c r="AR40" s="65">
        <f t="shared" si="11"/>
        <v>0</v>
      </c>
      <c r="AS40" s="65">
        <f t="shared" si="11"/>
        <v>0</v>
      </c>
      <c r="AT40" s="65">
        <f t="shared" si="11"/>
        <v>0</v>
      </c>
      <c r="AU40" s="65">
        <f t="shared" si="11"/>
        <v>0</v>
      </c>
      <c r="AV40" s="65">
        <f t="shared" si="11"/>
        <v>0</v>
      </c>
      <c r="AW40" s="65">
        <f t="shared" si="11"/>
        <v>0</v>
      </c>
      <c r="AX40" s="65">
        <f t="shared" si="11"/>
        <v>0</v>
      </c>
      <c r="AY40" s="65">
        <f t="shared" si="11"/>
        <v>0</v>
      </c>
      <c r="AZ40" s="65">
        <f t="shared" si="11"/>
        <v>0</v>
      </c>
      <c r="BA40" s="65">
        <f t="shared" si="11"/>
        <v>0</v>
      </c>
      <c r="BB40" s="65">
        <f t="shared" si="11"/>
        <v>0</v>
      </c>
      <c r="BC40" s="65">
        <f t="shared" si="11"/>
        <v>0</v>
      </c>
      <c r="BD40" s="65">
        <f t="shared" si="11"/>
        <v>0</v>
      </c>
      <c r="BE40" s="65">
        <f t="shared" si="11"/>
        <v>0</v>
      </c>
      <c r="BF40" s="65">
        <f t="shared" si="11"/>
        <v>0</v>
      </c>
      <c r="BG40" s="65">
        <f t="shared" si="11"/>
        <v>0</v>
      </c>
      <c r="BH40" s="65">
        <f t="shared" si="11"/>
        <v>0</v>
      </c>
      <c r="BI40" s="65">
        <f t="shared" si="11"/>
        <v>0</v>
      </c>
      <c r="BJ40" s="65">
        <f t="shared" si="11"/>
        <v>0</v>
      </c>
      <c r="BK40" s="65">
        <f t="shared" si="11"/>
        <v>0</v>
      </c>
      <c r="BL40" s="65">
        <f t="shared" si="11"/>
        <v>0</v>
      </c>
      <c r="BM40" s="65">
        <f t="shared" si="11"/>
        <v>0</v>
      </c>
      <c r="BN40" s="65">
        <f t="shared" si="11"/>
        <v>0</v>
      </c>
      <c r="BO40" s="65">
        <f t="shared" si="11"/>
        <v>0</v>
      </c>
    </row>
    <row r="41" spans="1:67" ht="15" customHeight="1" x14ac:dyDescent="0.2">
      <c r="A41" s="14" t="s">
        <v>210</v>
      </c>
      <c r="B41" s="68">
        <f t="shared" si="9"/>
        <v>31304.58872632905</v>
      </c>
      <c r="C41" s="65">
        <f t="shared" ref="C41:AH41" si="12">C28*C18</f>
        <v>896.10144359511241</v>
      </c>
      <c r="D41" s="65">
        <f t="shared" si="12"/>
        <v>889.43626618203825</v>
      </c>
      <c r="E41" s="65">
        <f t="shared" si="12"/>
        <v>887.71781170351187</v>
      </c>
      <c r="F41" s="65">
        <f t="shared" si="12"/>
        <v>877.17217893723341</v>
      </c>
      <c r="G41" s="65">
        <f t="shared" si="12"/>
        <v>896.36760037697616</v>
      </c>
      <c r="H41" s="65">
        <f t="shared" si="12"/>
        <v>915.90427375342551</v>
      </c>
      <c r="I41" s="65">
        <f t="shared" si="12"/>
        <v>935.83168059740376</v>
      </c>
      <c r="J41" s="65">
        <f t="shared" si="12"/>
        <v>956.15763557826165</v>
      </c>
      <c r="K41" s="65">
        <f t="shared" si="12"/>
        <v>976.89010965873672</v>
      </c>
      <c r="L41" s="65">
        <f t="shared" si="12"/>
        <v>998.03723322082135</v>
      </c>
      <c r="M41" s="65">
        <f t="shared" si="12"/>
        <v>1019.6072992541475</v>
      </c>
      <c r="N41" s="65">
        <f t="shared" si="12"/>
        <v>1041.6087666081403</v>
      </c>
      <c r="O41" s="65">
        <f t="shared" si="12"/>
        <v>1064.0502633092128</v>
      </c>
      <c r="P41" s="65">
        <f t="shared" si="12"/>
        <v>1086.940589944307</v>
      </c>
      <c r="Q41" s="65">
        <f t="shared" si="12"/>
        <v>1110.2887231121028</v>
      </c>
      <c r="R41" s="65">
        <f t="shared" si="12"/>
        <v>1134.1038189432547</v>
      </c>
      <c r="S41" s="65">
        <f t="shared" si="12"/>
        <v>1158.3952166910296</v>
      </c>
      <c r="T41" s="65">
        <f t="shared" si="12"/>
        <v>1183.1724423937601</v>
      </c>
      <c r="U41" s="65">
        <f t="shared" si="12"/>
        <v>1208.445212610545</v>
      </c>
      <c r="V41" s="65">
        <f t="shared" si="12"/>
        <v>1234.2234382316658</v>
      </c>
      <c r="W41" s="65">
        <f t="shared" si="12"/>
        <v>1260.5172283652089</v>
      </c>
      <c r="X41" s="65">
        <f t="shared" si="12"/>
        <v>1287.3368943014227</v>
      </c>
      <c r="Y41" s="65">
        <f t="shared" si="12"/>
        <v>1314.6929535563611</v>
      </c>
      <c r="Z41" s="65">
        <f t="shared" si="12"/>
        <v>1342.5961339963981</v>
      </c>
      <c r="AA41" s="65">
        <f t="shared" si="12"/>
        <v>1371.0573780452357</v>
      </c>
      <c r="AB41" s="65">
        <f t="shared" si="12"/>
        <v>1400.0878469750503</v>
      </c>
      <c r="AC41" s="65">
        <f t="shared" si="12"/>
        <v>1429.6989252834612</v>
      </c>
      <c r="AD41" s="65">
        <f t="shared" si="12"/>
        <v>1428.1493611042265</v>
      </c>
      <c r="AE41" s="65">
        <f t="shared" si="12"/>
        <v>0</v>
      </c>
      <c r="AF41" s="65">
        <f t="shared" si="12"/>
        <v>0</v>
      </c>
      <c r="AG41" s="65">
        <f t="shared" si="12"/>
        <v>0</v>
      </c>
      <c r="AH41" s="65">
        <f t="shared" si="12"/>
        <v>0</v>
      </c>
      <c r="AI41" s="65">
        <f t="shared" ref="AI41:BO41" si="13">AI28*AI18</f>
        <v>0</v>
      </c>
      <c r="AJ41" s="65">
        <f t="shared" si="13"/>
        <v>0</v>
      </c>
      <c r="AK41" s="65">
        <f t="shared" si="13"/>
        <v>0</v>
      </c>
      <c r="AL41" s="65">
        <f t="shared" si="13"/>
        <v>0</v>
      </c>
      <c r="AM41" s="65">
        <f t="shared" si="13"/>
        <v>0</v>
      </c>
      <c r="AN41" s="65">
        <f t="shared" si="13"/>
        <v>0</v>
      </c>
      <c r="AO41" s="65">
        <f t="shared" si="13"/>
        <v>0</v>
      </c>
      <c r="AP41" s="65">
        <f t="shared" si="13"/>
        <v>0</v>
      </c>
      <c r="AQ41" s="65">
        <f t="shared" si="13"/>
        <v>0</v>
      </c>
      <c r="AR41" s="65">
        <f t="shared" si="13"/>
        <v>0</v>
      </c>
      <c r="AS41" s="65">
        <f t="shared" si="13"/>
        <v>0</v>
      </c>
      <c r="AT41" s="65">
        <f t="shared" si="13"/>
        <v>0</v>
      </c>
      <c r="AU41" s="65">
        <f t="shared" si="13"/>
        <v>0</v>
      </c>
      <c r="AV41" s="65">
        <f t="shared" si="13"/>
        <v>0</v>
      </c>
      <c r="AW41" s="65">
        <f t="shared" si="13"/>
        <v>0</v>
      </c>
      <c r="AX41" s="65">
        <f t="shared" si="13"/>
        <v>0</v>
      </c>
      <c r="AY41" s="65">
        <f t="shared" si="13"/>
        <v>0</v>
      </c>
      <c r="AZ41" s="65">
        <f t="shared" si="13"/>
        <v>0</v>
      </c>
      <c r="BA41" s="65">
        <f t="shared" si="13"/>
        <v>0</v>
      </c>
      <c r="BB41" s="65">
        <f t="shared" si="13"/>
        <v>0</v>
      </c>
      <c r="BC41" s="65">
        <f t="shared" si="13"/>
        <v>0</v>
      </c>
      <c r="BD41" s="65">
        <f t="shared" si="13"/>
        <v>0</v>
      </c>
      <c r="BE41" s="65">
        <f t="shared" si="13"/>
        <v>0</v>
      </c>
      <c r="BF41" s="65">
        <f t="shared" si="13"/>
        <v>0</v>
      </c>
      <c r="BG41" s="65">
        <f t="shared" si="13"/>
        <v>0</v>
      </c>
      <c r="BH41" s="65">
        <f t="shared" si="13"/>
        <v>0</v>
      </c>
      <c r="BI41" s="65">
        <f t="shared" si="13"/>
        <v>0</v>
      </c>
      <c r="BJ41" s="65">
        <f t="shared" si="13"/>
        <v>0</v>
      </c>
      <c r="BK41" s="65">
        <f t="shared" si="13"/>
        <v>0</v>
      </c>
      <c r="BL41" s="65">
        <f t="shared" si="13"/>
        <v>0</v>
      </c>
      <c r="BM41" s="65">
        <f t="shared" si="13"/>
        <v>0</v>
      </c>
      <c r="BN41" s="65">
        <f t="shared" si="13"/>
        <v>0</v>
      </c>
      <c r="BO41" s="65">
        <f t="shared" si="13"/>
        <v>0</v>
      </c>
    </row>
    <row r="42" spans="1:67" ht="15" customHeight="1" x14ac:dyDescent="0.2">
      <c r="A42" s="14" t="s">
        <v>211</v>
      </c>
      <c r="B42" s="68">
        <f t="shared" si="9"/>
        <v>33562.553109576082</v>
      </c>
      <c r="C42" s="65">
        <f t="shared" ref="C42:AH42" si="14">C29*C19</f>
        <v>966.10115549817999</v>
      </c>
      <c r="D42" s="65">
        <f t="shared" si="14"/>
        <v>959.11572932051365</v>
      </c>
      <c r="E42" s="65">
        <f t="shared" si="14"/>
        <v>957.31470645863453</v>
      </c>
      <c r="F42" s="65">
        <f t="shared" si="14"/>
        <v>946.26237662250492</v>
      </c>
      <c r="G42" s="65">
        <f t="shared" si="14"/>
        <v>966.38010059388694</v>
      </c>
      <c r="H42" s="65">
        <f t="shared" si="14"/>
        <v>986.85547299142695</v>
      </c>
      <c r="I42" s="65">
        <f t="shared" si="14"/>
        <v>1007.7403528369176</v>
      </c>
      <c r="J42" s="65">
        <f t="shared" si="14"/>
        <v>1029.0429302793184</v>
      </c>
      <c r="K42" s="65">
        <f t="shared" si="14"/>
        <v>1050.771559270567</v>
      </c>
      <c r="L42" s="65">
        <f t="shared" si="14"/>
        <v>1072.9347608416406</v>
      </c>
      <c r="M42" s="65">
        <f t="shared" si="14"/>
        <v>1095.5412264441356</v>
      </c>
      <c r="N42" s="65">
        <f t="shared" si="14"/>
        <v>1118.5998213586806</v>
      </c>
      <c r="O42" s="65">
        <f t="shared" si="14"/>
        <v>1142.1195881715164</v>
      </c>
      <c r="P42" s="65">
        <f t="shared" si="14"/>
        <v>1166.109750320609</v>
      </c>
      <c r="Q42" s="65">
        <f t="shared" si="14"/>
        <v>1190.5797157126835</v>
      </c>
      <c r="R42" s="65">
        <f t="shared" si="14"/>
        <v>1215.5390804125993</v>
      </c>
      <c r="S42" s="65">
        <f t="shared" si="14"/>
        <v>1240.9976324065137</v>
      </c>
      <c r="T42" s="65">
        <f t="shared" si="14"/>
        <v>1266.9653554403062</v>
      </c>
      <c r="U42" s="65">
        <f t="shared" si="14"/>
        <v>1293.4524329347746</v>
      </c>
      <c r="V42" s="65">
        <f t="shared" si="14"/>
        <v>1320.4692519791322</v>
      </c>
      <c r="W42" s="65">
        <f t="shared" si="14"/>
        <v>1348.0264074043771</v>
      </c>
      <c r="X42" s="65">
        <f t="shared" si="14"/>
        <v>1376.1347059381269</v>
      </c>
      <c r="Y42" s="65">
        <f t="shared" si="14"/>
        <v>1404.8051704425516</v>
      </c>
      <c r="Z42" s="65">
        <f t="shared" si="14"/>
        <v>1434.0490442370649</v>
      </c>
      <c r="AA42" s="65">
        <f t="shared" si="14"/>
        <v>1463.8777955074684</v>
      </c>
      <c r="AB42" s="65">
        <f t="shared" si="14"/>
        <v>1494.30312180328</v>
      </c>
      <c r="AC42" s="65">
        <f t="shared" si="14"/>
        <v>1525.3369546250078</v>
      </c>
      <c r="AD42" s="65">
        <f t="shared" si="14"/>
        <v>1523.1269097236709</v>
      </c>
      <c r="AE42" s="65">
        <f t="shared" si="14"/>
        <v>0</v>
      </c>
      <c r="AF42" s="65">
        <f t="shared" si="14"/>
        <v>0</v>
      </c>
      <c r="AG42" s="65">
        <f t="shared" si="14"/>
        <v>0</v>
      </c>
      <c r="AH42" s="65">
        <f t="shared" si="14"/>
        <v>0</v>
      </c>
      <c r="AI42" s="65">
        <f t="shared" ref="AI42:BO42" si="15">AI29*AI19</f>
        <v>0</v>
      </c>
      <c r="AJ42" s="65">
        <f t="shared" si="15"/>
        <v>0</v>
      </c>
      <c r="AK42" s="65">
        <f t="shared" si="15"/>
        <v>0</v>
      </c>
      <c r="AL42" s="65">
        <f t="shared" si="15"/>
        <v>0</v>
      </c>
      <c r="AM42" s="65">
        <f t="shared" si="15"/>
        <v>0</v>
      </c>
      <c r="AN42" s="65">
        <f t="shared" si="15"/>
        <v>0</v>
      </c>
      <c r="AO42" s="65">
        <f t="shared" si="15"/>
        <v>0</v>
      </c>
      <c r="AP42" s="65">
        <f t="shared" si="15"/>
        <v>0</v>
      </c>
      <c r="AQ42" s="65">
        <f t="shared" si="15"/>
        <v>0</v>
      </c>
      <c r="AR42" s="65">
        <f t="shared" si="15"/>
        <v>0</v>
      </c>
      <c r="AS42" s="65">
        <f t="shared" si="15"/>
        <v>0</v>
      </c>
      <c r="AT42" s="65">
        <f t="shared" si="15"/>
        <v>0</v>
      </c>
      <c r="AU42" s="65">
        <f t="shared" si="15"/>
        <v>0</v>
      </c>
      <c r="AV42" s="65">
        <f t="shared" si="15"/>
        <v>0</v>
      </c>
      <c r="AW42" s="65">
        <f t="shared" si="15"/>
        <v>0</v>
      </c>
      <c r="AX42" s="65">
        <f t="shared" si="15"/>
        <v>0</v>
      </c>
      <c r="AY42" s="65">
        <f t="shared" si="15"/>
        <v>0</v>
      </c>
      <c r="AZ42" s="65">
        <f t="shared" si="15"/>
        <v>0</v>
      </c>
      <c r="BA42" s="65">
        <f t="shared" si="15"/>
        <v>0</v>
      </c>
      <c r="BB42" s="65">
        <f t="shared" si="15"/>
        <v>0</v>
      </c>
      <c r="BC42" s="65">
        <f t="shared" si="15"/>
        <v>0</v>
      </c>
      <c r="BD42" s="65">
        <f t="shared" si="15"/>
        <v>0</v>
      </c>
      <c r="BE42" s="65">
        <f t="shared" si="15"/>
        <v>0</v>
      </c>
      <c r="BF42" s="65">
        <f t="shared" si="15"/>
        <v>0</v>
      </c>
      <c r="BG42" s="65">
        <f t="shared" si="15"/>
        <v>0</v>
      </c>
      <c r="BH42" s="65">
        <f t="shared" si="15"/>
        <v>0</v>
      </c>
      <c r="BI42" s="65">
        <f t="shared" si="15"/>
        <v>0</v>
      </c>
      <c r="BJ42" s="65">
        <f t="shared" si="15"/>
        <v>0</v>
      </c>
      <c r="BK42" s="65">
        <f t="shared" si="15"/>
        <v>0</v>
      </c>
      <c r="BL42" s="65">
        <f t="shared" si="15"/>
        <v>0</v>
      </c>
      <c r="BM42" s="65">
        <f t="shared" si="15"/>
        <v>0</v>
      </c>
      <c r="BN42" s="65">
        <f t="shared" si="15"/>
        <v>0</v>
      </c>
      <c r="BO42" s="65">
        <f t="shared" si="15"/>
        <v>0</v>
      </c>
    </row>
    <row r="43" spans="1:67" ht="15" customHeight="1" x14ac:dyDescent="0.2">
      <c r="A43" s="14" t="s">
        <v>212</v>
      </c>
      <c r="B43" s="68">
        <f t="shared" si="9"/>
        <v>594202.49922471878</v>
      </c>
      <c r="C43" s="65">
        <f t="shared" ref="C43:AH43" si="16">C30*C20</f>
        <v>7384.7942479255526</v>
      </c>
      <c r="D43" s="65">
        <f t="shared" si="16"/>
        <v>7325.6054137553956</v>
      </c>
      <c r="E43" s="65">
        <f t="shared" si="16"/>
        <v>7310.3450071893312</v>
      </c>
      <c r="F43" s="65">
        <f t="shared" si="16"/>
        <v>7216.6965308864728</v>
      </c>
      <c r="G43" s="65">
        <f t="shared" si="16"/>
        <v>7387.1578023590919</v>
      </c>
      <c r="H43" s="65">
        <f t="shared" si="16"/>
        <v>7560.6494964356689</v>
      </c>
      <c r="I43" s="65">
        <f t="shared" si="16"/>
        <v>7737.6110243937756</v>
      </c>
      <c r="J43" s="65">
        <f t="shared" si="16"/>
        <v>7918.1117829110472</v>
      </c>
      <c r="K43" s="65">
        <f t="shared" si="16"/>
        <v>8102.2225565986646</v>
      </c>
      <c r="L43" s="65">
        <f t="shared" si="16"/>
        <v>8290.015545760034</v>
      </c>
      <c r="M43" s="65">
        <f t="shared" si="16"/>
        <v>8481.5643947046283</v>
      </c>
      <c r="N43" s="65">
        <f t="shared" si="16"/>
        <v>8676.9442206281146</v>
      </c>
      <c r="O43" s="65">
        <f t="shared" si="16"/>
        <v>8876.2316430700739</v>
      </c>
      <c r="P43" s="65">
        <f t="shared" si="16"/>
        <v>9079.5048139608698</v>
      </c>
      <c r="Q43" s="65">
        <f t="shared" si="16"/>
        <v>9286.8434482694829</v>
      </c>
      <c r="R43" s="65">
        <f t="shared" si="16"/>
        <v>9498.328855264268</v>
      </c>
      <c r="S43" s="65">
        <f t="shared" si="16"/>
        <v>9714.0439703989487</v>
      </c>
      <c r="T43" s="65">
        <f t="shared" si="16"/>
        <v>9934.0733878363244</v>
      </c>
      <c r="U43" s="65">
        <f t="shared" si="16"/>
        <v>10158.503393622444</v>
      </c>
      <c r="V43" s="65">
        <f t="shared" si="16"/>
        <v>10387.421999524289</v>
      </c>
      <c r="W43" s="65">
        <f t="shared" si="16"/>
        <v>10620.91897754417</v>
      </c>
      <c r="X43" s="65">
        <f t="shared" si="16"/>
        <v>10859.085895124448</v>
      </c>
      <c r="Y43" s="65">
        <f t="shared" si="16"/>
        <v>11102.01615105633</v>
      </c>
      <c r="Z43" s="65">
        <f t="shared" si="16"/>
        <v>11349.805012106852</v>
      </c>
      <c r="AA43" s="65">
        <f t="shared" si="16"/>
        <v>11602.549650378383</v>
      </c>
      <c r="AB43" s="65">
        <f t="shared" si="16"/>
        <v>11860.349181415348</v>
      </c>
      <c r="AC43" s="65">
        <f t="shared" si="16"/>
        <v>12123.304703073049</v>
      </c>
      <c r="AD43" s="65">
        <f t="shared" si="16"/>
        <v>12391.519335163905</v>
      </c>
      <c r="AE43" s="65">
        <f t="shared" si="16"/>
        <v>12665.098259896578</v>
      </c>
      <c r="AF43" s="65">
        <f t="shared" si="16"/>
        <v>12944.148763123907</v>
      </c>
      <c r="AG43" s="65">
        <f t="shared" si="16"/>
        <v>13228.78027641578</v>
      </c>
      <c r="AH43" s="65">
        <f t="shared" si="16"/>
        <v>13519.104419973492</v>
      </c>
      <c r="AI43" s="65">
        <f t="shared" ref="AI43:BO43" si="17">AI30*AI20</f>
        <v>13815.235046402358</v>
      </c>
      <c r="AJ43" s="65">
        <f t="shared" si="17"/>
        <v>14117.2882853598</v>
      </c>
      <c r="AK43" s="65">
        <f t="shared" si="17"/>
        <v>14425.382589096391</v>
      </c>
      <c r="AL43" s="65">
        <f t="shared" si="17"/>
        <v>14739.638778907714</v>
      </c>
      <c r="AM43" s="65">
        <f t="shared" si="17"/>
        <v>15060.180092515266</v>
      </c>
      <c r="AN43" s="65">
        <f t="shared" si="17"/>
        <v>15387.132232394964</v>
      </c>
      <c r="AO43" s="65">
        <f t="shared" si="17"/>
        <v>15720.623415072259</v>
      </c>
      <c r="AP43" s="65">
        <f t="shared" si="17"/>
        <v>16060.784421403099</v>
      </c>
      <c r="AQ43" s="65">
        <f t="shared" si="17"/>
        <v>16407.748647860557</v>
      </c>
      <c r="AR43" s="65">
        <f t="shared" si="17"/>
        <v>16761.652158847166</v>
      </c>
      <c r="AS43" s="65">
        <f t="shared" si="17"/>
        <v>17122.633740053505</v>
      </c>
      <c r="AT43" s="65">
        <f t="shared" si="17"/>
        <v>17490.834952883972</v>
      </c>
      <c r="AU43" s="65">
        <f t="shared" si="17"/>
        <v>17866.400189971046</v>
      </c>
      <c r="AV43" s="65">
        <f t="shared" si="17"/>
        <v>18249.476731799859</v>
      </c>
      <c r="AW43" s="65">
        <f t="shared" si="17"/>
        <v>18640.214804465253</v>
      </c>
      <c r="AX43" s="65">
        <f t="shared" si="17"/>
        <v>19038.767638583951</v>
      </c>
      <c r="AY43" s="65">
        <f t="shared" si="17"/>
        <v>18705.155338335047</v>
      </c>
      <c r="AZ43" s="65">
        <f t="shared" si="17"/>
        <v>0</v>
      </c>
      <c r="BA43" s="65">
        <f t="shared" si="17"/>
        <v>0</v>
      </c>
      <c r="BB43" s="65">
        <f t="shared" si="17"/>
        <v>0</v>
      </c>
      <c r="BC43" s="65">
        <f t="shared" si="17"/>
        <v>0</v>
      </c>
      <c r="BD43" s="65">
        <f t="shared" si="17"/>
        <v>0</v>
      </c>
      <c r="BE43" s="65">
        <f t="shared" si="17"/>
        <v>0</v>
      </c>
      <c r="BF43" s="65">
        <f t="shared" si="17"/>
        <v>0</v>
      </c>
      <c r="BG43" s="65">
        <f t="shared" si="17"/>
        <v>0</v>
      </c>
      <c r="BH43" s="65">
        <f t="shared" si="17"/>
        <v>0</v>
      </c>
      <c r="BI43" s="65">
        <f t="shared" si="17"/>
        <v>0</v>
      </c>
      <c r="BJ43" s="65">
        <f t="shared" si="17"/>
        <v>0</v>
      </c>
      <c r="BK43" s="65">
        <f t="shared" si="17"/>
        <v>0</v>
      </c>
      <c r="BL43" s="65">
        <f t="shared" si="17"/>
        <v>0</v>
      </c>
      <c r="BM43" s="65">
        <f t="shared" si="17"/>
        <v>0</v>
      </c>
      <c r="BN43" s="65">
        <f t="shared" si="17"/>
        <v>0</v>
      </c>
      <c r="BO43" s="65">
        <f t="shared" si="17"/>
        <v>0</v>
      </c>
    </row>
    <row r="44" spans="1:67" ht="15" customHeight="1" x14ac:dyDescent="0.2">
      <c r="A44" s="14" t="s">
        <v>213</v>
      </c>
      <c r="B44" s="68">
        <f t="shared" si="9"/>
        <v>79292.687046099178</v>
      </c>
      <c r="C44" s="65">
        <f t="shared" ref="C44:AH44" si="18">C31*C21</f>
        <v>1459.9070768046245</v>
      </c>
      <c r="D44" s="65">
        <f t="shared" si="18"/>
        <v>1446.2583794565303</v>
      </c>
      <c r="E44" s="65">
        <f t="shared" si="18"/>
        <v>1442.7393935945972</v>
      </c>
      <c r="F44" s="65">
        <f t="shared" si="18"/>
        <v>1421.1444470461763</v>
      </c>
      <c r="G44" s="65">
        <f t="shared" si="18"/>
        <v>1460.4521025612794</v>
      </c>
      <c r="H44" s="65">
        <f t="shared" si="18"/>
        <v>1500.4585608410955</v>
      </c>
      <c r="I44" s="65">
        <f t="shared" si="18"/>
        <v>1541.2651482865078</v>
      </c>
      <c r="J44" s="65">
        <f t="shared" si="18"/>
        <v>1582.8878674808286</v>
      </c>
      <c r="K44" s="65">
        <f t="shared" si="18"/>
        <v>1625.3430410590358</v>
      </c>
      <c r="L44" s="65">
        <f t="shared" si="18"/>
        <v>1668.6473181088074</v>
      </c>
      <c r="M44" s="65">
        <f t="shared" si="18"/>
        <v>1712.8176806995741</v>
      </c>
      <c r="N44" s="65">
        <f t="shared" si="18"/>
        <v>1757.871450542156</v>
      </c>
      <c r="O44" s="65">
        <f t="shared" si="18"/>
        <v>1803.8262957815898</v>
      </c>
      <c r="P44" s="65">
        <f t="shared" si="18"/>
        <v>1850.700237925812</v>
      </c>
      <c r="Q44" s="65">
        <f t="shared" si="18"/>
        <v>1898.5116589129188</v>
      </c>
      <c r="R44" s="65">
        <f t="shared" si="18"/>
        <v>1947.279308319768</v>
      </c>
      <c r="S44" s="65">
        <f t="shared" si="18"/>
        <v>1997.0223107147538</v>
      </c>
      <c r="T44" s="65">
        <f t="shared" si="18"/>
        <v>2047.7601731576394</v>
      </c>
      <c r="U44" s="65">
        <f t="shared" si="18"/>
        <v>2099.512792849383</v>
      </c>
      <c r="V44" s="65">
        <f t="shared" si="18"/>
        <v>2152.3004649349609</v>
      </c>
      <c r="W44" s="65">
        <f t="shared" si="18"/>
        <v>2206.143890462251</v>
      </c>
      <c r="X44" s="65">
        <f t="shared" si="18"/>
        <v>2261.0641845000864</v>
      </c>
      <c r="Y44" s="65">
        <f t="shared" si="18"/>
        <v>2317.0828844186785</v>
      </c>
      <c r="Z44" s="65">
        <f t="shared" si="18"/>
        <v>2374.2219583356427</v>
      </c>
      <c r="AA44" s="65">
        <f t="shared" si="18"/>
        <v>2432.5038137309457</v>
      </c>
      <c r="AB44" s="65">
        <f t="shared" si="18"/>
        <v>2491.9513062341553</v>
      </c>
      <c r="AC44" s="65">
        <f t="shared" si="18"/>
        <v>2552.5877485874289</v>
      </c>
      <c r="AD44" s="65">
        <f t="shared" si="18"/>
        <v>2614.4369197877677</v>
      </c>
      <c r="AE44" s="65">
        <f t="shared" si="18"/>
        <v>2677.5230744121141</v>
      </c>
      <c r="AF44" s="65">
        <f t="shared" si="18"/>
        <v>2741.870952128947</v>
      </c>
      <c r="AG44" s="65">
        <f t="shared" si="18"/>
        <v>2807.5057874001168</v>
      </c>
      <c r="AH44" s="65">
        <f t="shared" si="18"/>
        <v>2874.4533193767102</v>
      </c>
      <c r="AI44" s="65">
        <f t="shared" ref="AI44:BO44" si="19">AI31*AI21</f>
        <v>2942.7398019928351</v>
      </c>
      <c r="AJ44" s="65">
        <f t="shared" si="19"/>
        <v>3012.3920142612819</v>
      </c>
      <c r="AK44" s="65">
        <f t="shared" si="19"/>
        <v>3083.4372707750981</v>
      </c>
      <c r="AL44" s="65">
        <f t="shared" si="19"/>
        <v>3155.9034324191912</v>
      </c>
      <c r="AM44" s="65">
        <f t="shared" si="19"/>
        <v>2330.162978197905</v>
      </c>
      <c r="AN44" s="65">
        <f t="shared" si="19"/>
        <v>0</v>
      </c>
      <c r="AO44" s="65">
        <f t="shared" si="19"/>
        <v>0</v>
      </c>
      <c r="AP44" s="65">
        <f t="shared" si="19"/>
        <v>0</v>
      </c>
      <c r="AQ44" s="65">
        <f t="shared" si="19"/>
        <v>0</v>
      </c>
      <c r="AR44" s="65">
        <f t="shared" si="19"/>
        <v>0</v>
      </c>
      <c r="AS44" s="65">
        <f t="shared" si="19"/>
        <v>0</v>
      </c>
      <c r="AT44" s="65">
        <f t="shared" si="19"/>
        <v>0</v>
      </c>
      <c r="AU44" s="65">
        <f t="shared" si="19"/>
        <v>0</v>
      </c>
      <c r="AV44" s="65">
        <f t="shared" si="19"/>
        <v>0</v>
      </c>
      <c r="AW44" s="65">
        <f t="shared" si="19"/>
        <v>0</v>
      </c>
      <c r="AX44" s="65">
        <f t="shared" si="19"/>
        <v>0</v>
      </c>
      <c r="AY44" s="65">
        <f t="shared" si="19"/>
        <v>0</v>
      </c>
      <c r="AZ44" s="65">
        <f t="shared" si="19"/>
        <v>0</v>
      </c>
      <c r="BA44" s="65">
        <f t="shared" si="19"/>
        <v>0</v>
      </c>
      <c r="BB44" s="65">
        <f t="shared" si="19"/>
        <v>0</v>
      </c>
      <c r="BC44" s="65">
        <f t="shared" si="19"/>
        <v>0</v>
      </c>
      <c r="BD44" s="65">
        <f t="shared" si="19"/>
        <v>0</v>
      </c>
      <c r="BE44" s="65">
        <f t="shared" si="19"/>
        <v>0</v>
      </c>
      <c r="BF44" s="65">
        <f t="shared" si="19"/>
        <v>0</v>
      </c>
      <c r="BG44" s="65">
        <f t="shared" si="19"/>
        <v>0</v>
      </c>
      <c r="BH44" s="65">
        <f t="shared" si="19"/>
        <v>0</v>
      </c>
      <c r="BI44" s="65">
        <f t="shared" si="19"/>
        <v>0</v>
      </c>
      <c r="BJ44" s="65">
        <f t="shared" si="19"/>
        <v>0</v>
      </c>
      <c r="BK44" s="65">
        <f t="shared" si="19"/>
        <v>0</v>
      </c>
      <c r="BL44" s="65">
        <f t="shared" si="19"/>
        <v>0</v>
      </c>
      <c r="BM44" s="65">
        <f t="shared" si="19"/>
        <v>0</v>
      </c>
      <c r="BN44" s="65">
        <f t="shared" si="19"/>
        <v>0</v>
      </c>
      <c r="BO44" s="65">
        <f t="shared" si="19"/>
        <v>0</v>
      </c>
    </row>
    <row r="45" spans="1:67" ht="15" customHeight="1" x14ac:dyDescent="0.2">
      <c r="A45" s="14" t="s">
        <v>214</v>
      </c>
      <c r="B45" s="68">
        <f t="shared" si="9"/>
        <v>971132.85605347308</v>
      </c>
      <c r="C45" s="65">
        <f t="shared" ref="C45:AH45" si="20">C32*C22</f>
        <v>19701.275415968837</v>
      </c>
      <c r="D45" s="65">
        <f t="shared" si="20"/>
        <v>19313.959588669411</v>
      </c>
      <c r="E45" s="65">
        <f t="shared" si="20"/>
        <v>19275.286853762984</v>
      </c>
      <c r="F45" s="65">
        <f t="shared" si="20"/>
        <v>19050.186477152096</v>
      </c>
      <c r="G45" s="65">
        <f t="shared" si="20"/>
        <v>19444.112136221145</v>
      </c>
      <c r="H45" s="65">
        <f t="shared" si="20"/>
        <v>19844.499009804029</v>
      </c>
      <c r="I45" s="65">
        <f t="shared" si="20"/>
        <v>20252.893620858566</v>
      </c>
      <c r="J45" s="65">
        <f t="shared" si="20"/>
        <v>20669.456124134194</v>
      </c>
      <c r="K45" s="65">
        <f t="shared" si="20"/>
        <v>21094.349877475335</v>
      </c>
      <c r="L45" s="65">
        <f t="shared" si="20"/>
        <v>21527.741505883296</v>
      </c>
      <c r="M45" s="65">
        <f t="shared" si="20"/>
        <v>21969.80096685942</v>
      </c>
      <c r="N45" s="65">
        <f t="shared" si="20"/>
        <v>22420.701617055071</v>
      </c>
      <c r="O45" s="65">
        <f t="shared" si="20"/>
        <v>22880.620280254629</v>
      </c>
      <c r="P45" s="65">
        <f t="shared" si="20"/>
        <v>23349.737316718176</v>
      </c>
      <c r="Q45" s="65">
        <f t="shared" si="20"/>
        <v>23828.236693910996</v>
      </c>
      <c r="R45" s="65">
        <f t="shared" si="20"/>
        <v>24316.306058647671</v>
      </c>
      <c r="S45" s="65">
        <f t="shared" si="20"/>
        <v>24814.136810679083</v>
      </c>
      <c r="T45" s="65">
        <f t="shared" si="20"/>
        <v>25321.924177751123</v>
      </c>
      <c r="U45" s="65">
        <f t="shared" si="20"/>
        <v>25839.867292164603</v>
      </c>
      <c r="V45" s="65">
        <f t="shared" si="20"/>
        <v>26368.169268866357</v>
      </c>
      <c r="W45" s="65">
        <f t="shared" si="20"/>
        <v>26907.037285102142</v>
      </c>
      <c r="X45" s="65">
        <f t="shared" si="20"/>
        <v>27456.682661662646</v>
      </c>
      <c r="Y45" s="65">
        <f t="shared" si="20"/>
        <v>28017.320945754356</v>
      </c>
      <c r="Z45" s="65">
        <f t="shared" si="20"/>
        <v>28589.1719955279</v>
      </c>
      <c r="AA45" s="65">
        <f t="shared" si="20"/>
        <v>29172.460066296921</v>
      </c>
      <c r="AB45" s="65">
        <f t="shared" si="20"/>
        <v>29767.413898481314</v>
      </c>
      <c r="AC45" s="65">
        <f t="shared" si="20"/>
        <v>30374.266807309396</v>
      </c>
      <c r="AD45" s="65">
        <f t="shared" si="20"/>
        <v>30993.256774314043</v>
      </c>
      <c r="AE45" s="65">
        <f t="shared" si="20"/>
        <v>31624.626540658781</v>
      </c>
      <c r="AF45" s="65">
        <f t="shared" si="20"/>
        <v>32268.623702330417</v>
      </c>
      <c r="AG45" s="65">
        <f t="shared" si="20"/>
        <v>32925.500807235483</v>
      </c>
      <c r="AH45" s="65">
        <f t="shared" si="20"/>
        <v>33595.515454238652</v>
      </c>
      <c r="AI45" s="65">
        <f t="shared" ref="AI45:BO45" si="21">AI32*AI22</f>
        <v>34278.93039418188</v>
      </c>
      <c r="AJ45" s="65">
        <f t="shared" si="21"/>
        <v>34976.013632923976</v>
      </c>
      <c r="AK45" s="65">
        <f t="shared" si="21"/>
        <v>35687.038536440916</v>
      </c>
      <c r="AL45" s="65">
        <f t="shared" si="21"/>
        <v>36412.283938028188</v>
      </c>
      <c r="AM45" s="65">
        <f t="shared" si="21"/>
        <v>26803.451520149087</v>
      </c>
      <c r="AN45" s="65">
        <f t="shared" si="21"/>
        <v>0</v>
      </c>
      <c r="AO45" s="65">
        <f t="shared" si="21"/>
        <v>0</v>
      </c>
      <c r="AP45" s="65">
        <f t="shared" si="21"/>
        <v>0</v>
      </c>
      <c r="AQ45" s="65">
        <f t="shared" si="21"/>
        <v>0</v>
      </c>
      <c r="AR45" s="65">
        <f t="shared" si="21"/>
        <v>0</v>
      </c>
      <c r="AS45" s="65">
        <f t="shared" si="21"/>
        <v>0</v>
      </c>
      <c r="AT45" s="65">
        <f t="shared" si="21"/>
        <v>0</v>
      </c>
      <c r="AU45" s="65">
        <f t="shared" si="21"/>
        <v>0</v>
      </c>
      <c r="AV45" s="65">
        <f t="shared" si="21"/>
        <v>0</v>
      </c>
      <c r="AW45" s="65">
        <f t="shared" si="21"/>
        <v>0</v>
      </c>
      <c r="AX45" s="65">
        <f t="shared" si="21"/>
        <v>0</v>
      </c>
      <c r="AY45" s="65">
        <f t="shared" si="21"/>
        <v>0</v>
      </c>
      <c r="AZ45" s="65">
        <f t="shared" si="21"/>
        <v>0</v>
      </c>
      <c r="BA45" s="65">
        <f t="shared" si="21"/>
        <v>0</v>
      </c>
      <c r="BB45" s="65">
        <f t="shared" si="21"/>
        <v>0</v>
      </c>
      <c r="BC45" s="65">
        <f t="shared" si="21"/>
        <v>0</v>
      </c>
      <c r="BD45" s="65">
        <f t="shared" si="21"/>
        <v>0</v>
      </c>
      <c r="BE45" s="65">
        <f t="shared" si="21"/>
        <v>0</v>
      </c>
      <c r="BF45" s="65">
        <f t="shared" si="21"/>
        <v>0</v>
      </c>
      <c r="BG45" s="65">
        <f t="shared" si="21"/>
        <v>0</v>
      </c>
      <c r="BH45" s="65">
        <f t="shared" si="21"/>
        <v>0</v>
      </c>
      <c r="BI45" s="65">
        <f t="shared" si="21"/>
        <v>0</v>
      </c>
      <c r="BJ45" s="65">
        <f t="shared" si="21"/>
        <v>0</v>
      </c>
      <c r="BK45" s="65">
        <f t="shared" si="21"/>
        <v>0</v>
      </c>
      <c r="BL45" s="65">
        <f t="shared" si="21"/>
        <v>0</v>
      </c>
      <c r="BM45" s="65">
        <f t="shared" si="21"/>
        <v>0</v>
      </c>
      <c r="BN45" s="65">
        <f t="shared" si="21"/>
        <v>0</v>
      </c>
      <c r="BO45" s="65">
        <f t="shared" si="21"/>
        <v>0</v>
      </c>
    </row>
    <row r="46" spans="1:67" ht="15" customHeight="1" x14ac:dyDescent="0.2">
      <c r="A46" s="14" t="s">
        <v>215</v>
      </c>
      <c r="B46" s="68">
        <f t="shared" si="9"/>
        <v>87903.883589895326</v>
      </c>
      <c r="C46" s="65">
        <f t="shared" ref="C46:AH46" si="22">C33*C23</f>
        <v>2556.0639913161763</v>
      </c>
      <c r="D46" s="65">
        <f t="shared" si="22"/>
        <v>2539.932315763534</v>
      </c>
      <c r="E46" s="65">
        <f t="shared" si="22"/>
        <v>2535.2971477460123</v>
      </c>
      <c r="F46" s="65">
        <f t="shared" si="22"/>
        <v>2507.1926079958716</v>
      </c>
      <c r="G46" s="65">
        <f t="shared" si="22"/>
        <v>2559.1190909627985</v>
      </c>
      <c r="H46" s="65">
        <f t="shared" si="22"/>
        <v>2610.3014727820541</v>
      </c>
      <c r="I46" s="65">
        <f t="shared" si="22"/>
        <v>2662.507502237695</v>
      </c>
      <c r="J46" s="65">
        <f t="shared" si="22"/>
        <v>2715.7576522824488</v>
      </c>
      <c r="K46" s="65">
        <f t="shared" si="22"/>
        <v>2770.0728053280977</v>
      </c>
      <c r="L46" s="65">
        <f t="shared" si="22"/>
        <v>2825.4742614346605</v>
      </c>
      <c r="M46" s="65">
        <f t="shared" si="22"/>
        <v>2881.9837466633535</v>
      </c>
      <c r="N46" s="65">
        <f t="shared" si="22"/>
        <v>2939.6234215966206</v>
      </c>
      <c r="O46" s="65">
        <f t="shared" si="22"/>
        <v>2998.4158900285533</v>
      </c>
      <c r="P46" s="65">
        <f t="shared" si="22"/>
        <v>3058.3842078291241</v>
      </c>
      <c r="Q46" s="65">
        <f t="shared" si="22"/>
        <v>3119.5518919857068</v>
      </c>
      <c r="R46" s="65">
        <f t="shared" si="22"/>
        <v>3181.9429298254208</v>
      </c>
      <c r="S46" s="65">
        <f t="shared" si="22"/>
        <v>3245.5817884219296</v>
      </c>
      <c r="T46" s="65">
        <f t="shared" si="22"/>
        <v>3310.4934241903679</v>
      </c>
      <c r="U46" s="65">
        <f t="shared" si="22"/>
        <v>3376.7032926741754</v>
      </c>
      <c r="V46" s="65">
        <f t="shared" si="22"/>
        <v>3444.2373585276596</v>
      </c>
      <c r="W46" s="65">
        <f t="shared" si="22"/>
        <v>3513.1221056982126</v>
      </c>
      <c r="X46" s="65">
        <f t="shared" si="22"/>
        <v>3583.3845478121762</v>
      </c>
      <c r="Y46" s="65">
        <f t="shared" si="22"/>
        <v>3655.0522387684205</v>
      </c>
      <c r="Z46" s="65">
        <f t="shared" si="22"/>
        <v>3728.1532835437893</v>
      </c>
      <c r="AA46" s="65">
        <f t="shared" si="22"/>
        <v>3802.7163492146647</v>
      </c>
      <c r="AB46" s="65">
        <f t="shared" si="22"/>
        <v>3878.7706761989584</v>
      </c>
      <c r="AC46" s="65">
        <f t="shared" si="22"/>
        <v>3956.3460897229379</v>
      </c>
      <c r="AD46" s="65">
        <f t="shared" si="22"/>
        <v>3947.7014993439202</v>
      </c>
      <c r="AE46" s="65">
        <f t="shared" si="22"/>
        <v>0</v>
      </c>
      <c r="AF46" s="65">
        <f t="shared" si="22"/>
        <v>0</v>
      </c>
      <c r="AG46" s="65">
        <f t="shared" si="22"/>
        <v>0</v>
      </c>
      <c r="AH46" s="65">
        <f t="shared" si="22"/>
        <v>0</v>
      </c>
      <c r="AI46" s="65">
        <f t="shared" ref="AI46:BO46" si="23">AI33*AI23</f>
        <v>0</v>
      </c>
      <c r="AJ46" s="65">
        <f t="shared" si="23"/>
        <v>0</v>
      </c>
      <c r="AK46" s="65">
        <f t="shared" si="23"/>
        <v>0</v>
      </c>
      <c r="AL46" s="65">
        <f t="shared" si="23"/>
        <v>0</v>
      </c>
      <c r="AM46" s="65">
        <f t="shared" si="23"/>
        <v>0</v>
      </c>
      <c r="AN46" s="65">
        <f t="shared" si="23"/>
        <v>0</v>
      </c>
      <c r="AO46" s="65">
        <f t="shared" si="23"/>
        <v>0</v>
      </c>
      <c r="AP46" s="65">
        <f t="shared" si="23"/>
        <v>0</v>
      </c>
      <c r="AQ46" s="65">
        <f t="shared" si="23"/>
        <v>0</v>
      </c>
      <c r="AR46" s="65">
        <f t="shared" si="23"/>
        <v>0</v>
      </c>
      <c r="AS46" s="65">
        <f t="shared" si="23"/>
        <v>0</v>
      </c>
      <c r="AT46" s="65">
        <f t="shared" si="23"/>
        <v>0</v>
      </c>
      <c r="AU46" s="65">
        <f t="shared" si="23"/>
        <v>0</v>
      </c>
      <c r="AV46" s="65">
        <f t="shared" si="23"/>
        <v>0</v>
      </c>
      <c r="AW46" s="65">
        <f t="shared" si="23"/>
        <v>0</v>
      </c>
      <c r="AX46" s="65">
        <f t="shared" si="23"/>
        <v>0</v>
      </c>
      <c r="AY46" s="65">
        <f t="shared" si="23"/>
        <v>0</v>
      </c>
      <c r="AZ46" s="65">
        <f t="shared" si="23"/>
        <v>0</v>
      </c>
      <c r="BA46" s="65">
        <f t="shared" si="23"/>
        <v>0</v>
      </c>
      <c r="BB46" s="65">
        <f t="shared" si="23"/>
        <v>0</v>
      </c>
      <c r="BC46" s="65">
        <f t="shared" si="23"/>
        <v>0</v>
      </c>
      <c r="BD46" s="65">
        <f t="shared" si="23"/>
        <v>0</v>
      </c>
      <c r="BE46" s="65">
        <f t="shared" si="23"/>
        <v>0</v>
      </c>
      <c r="BF46" s="65">
        <f t="shared" si="23"/>
        <v>0</v>
      </c>
      <c r="BG46" s="65">
        <f t="shared" si="23"/>
        <v>0</v>
      </c>
      <c r="BH46" s="65">
        <f t="shared" si="23"/>
        <v>0</v>
      </c>
      <c r="BI46" s="65">
        <f t="shared" si="23"/>
        <v>0</v>
      </c>
      <c r="BJ46" s="65">
        <f t="shared" si="23"/>
        <v>0</v>
      </c>
      <c r="BK46" s="65">
        <f t="shared" si="23"/>
        <v>0</v>
      </c>
      <c r="BL46" s="65">
        <f t="shared" si="23"/>
        <v>0</v>
      </c>
      <c r="BM46" s="65">
        <f t="shared" si="23"/>
        <v>0</v>
      </c>
      <c r="BN46" s="65">
        <f t="shared" si="23"/>
        <v>0</v>
      </c>
      <c r="BO46" s="65">
        <f t="shared" si="23"/>
        <v>0</v>
      </c>
    </row>
    <row r="47" spans="1:67" ht="15" customHeight="1" x14ac:dyDescent="0.2">
      <c r="A47" s="14" t="s">
        <v>216</v>
      </c>
      <c r="B47" s="68">
        <f t="shared" si="9"/>
        <v>119563.5831955545</v>
      </c>
      <c r="C47" s="65">
        <f t="shared" ref="C47:AH47" si="24">C34*C24</f>
        <v>2222.7567032024645</v>
      </c>
      <c r="D47" s="65">
        <f t="shared" si="24"/>
        <v>2812.667079878081</v>
      </c>
      <c r="E47" s="65">
        <f t="shared" si="24"/>
        <v>3182.610875420417</v>
      </c>
      <c r="F47" s="65">
        <f t="shared" si="24"/>
        <v>3492.563785199131</v>
      </c>
      <c r="G47" s="65">
        <f t="shared" si="24"/>
        <v>3562.5531519233564</v>
      </c>
      <c r="H47" s="65">
        <f t="shared" si="24"/>
        <v>3632.5425186475827</v>
      </c>
      <c r="I47" s="65">
        <f t="shared" si="24"/>
        <v>3703.9316727062928</v>
      </c>
      <c r="J47" s="65">
        <f t="shared" si="24"/>
        <v>3776.7486098461773</v>
      </c>
      <c r="K47" s="65">
        <f t="shared" si="24"/>
        <v>3851.0218857288596</v>
      </c>
      <c r="L47" s="65">
        <f t="shared" si="24"/>
        <v>3926.7806271291956</v>
      </c>
      <c r="M47" s="65">
        <f t="shared" si="24"/>
        <v>4004.0545433575385</v>
      </c>
      <c r="N47" s="65">
        <f t="shared" si="24"/>
        <v>4082.8739379104477</v>
      </c>
      <c r="O47" s="65">
        <f t="shared" si="24"/>
        <v>4163.2697203544158</v>
      </c>
      <c r="P47" s="65">
        <f t="shared" si="24"/>
        <v>4245.2734184472629</v>
      </c>
      <c r="Q47" s="65">
        <f t="shared" si="24"/>
        <v>4328.9171905019666</v>
      </c>
      <c r="R47" s="65">
        <f t="shared" si="24"/>
        <v>4414.2338379977637</v>
      </c>
      <c r="S47" s="65">
        <f t="shared" si="24"/>
        <v>4501.2568184434786</v>
      </c>
      <c r="T47" s="65">
        <f t="shared" si="24"/>
        <v>4590.0202584981071</v>
      </c>
      <c r="U47" s="65">
        <f t="shared" si="24"/>
        <v>4680.558967353827</v>
      </c>
      <c r="V47" s="65">
        <f t="shared" si="24"/>
        <v>4772.9084503866625</v>
      </c>
      <c r="W47" s="65">
        <f t="shared" si="24"/>
        <v>4867.1049230801545</v>
      </c>
      <c r="X47" s="65">
        <f t="shared" si="24"/>
        <v>4963.1853252275168</v>
      </c>
      <c r="Y47" s="65">
        <f t="shared" si="24"/>
        <v>5061.187335417826</v>
      </c>
      <c r="Z47" s="65">
        <f t="shared" si="24"/>
        <v>5161.1493858119411</v>
      </c>
      <c r="AA47" s="65">
        <f t="shared" si="24"/>
        <v>5263.1106772139383</v>
      </c>
      <c r="AB47" s="65">
        <f t="shared" si="24"/>
        <v>5367.1111944439763</v>
      </c>
      <c r="AC47" s="65">
        <f t="shared" si="24"/>
        <v>5473.1917220186142</v>
      </c>
      <c r="AD47" s="65">
        <f t="shared" si="24"/>
        <v>5459.9985794075155</v>
      </c>
      <c r="AE47" s="65">
        <f t="shared" si="24"/>
        <v>0</v>
      </c>
      <c r="AF47" s="65">
        <f t="shared" si="24"/>
        <v>0</v>
      </c>
      <c r="AG47" s="65">
        <f t="shared" si="24"/>
        <v>0</v>
      </c>
      <c r="AH47" s="65">
        <f t="shared" si="24"/>
        <v>0</v>
      </c>
      <c r="AI47" s="65">
        <f t="shared" ref="AI47:BO47" si="25">AI34*AI24</f>
        <v>0</v>
      </c>
      <c r="AJ47" s="65">
        <f t="shared" si="25"/>
        <v>0</v>
      </c>
      <c r="AK47" s="65">
        <f t="shared" si="25"/>
        <v>0</v>
      </c>
      <c r="AL47" s="65">
        <f t="shared" si="25"/>
        <v>0</v>
      </c>
      <c r="AM47" s="65">
        <f t="shared" si="25"/>
        <v>0</v>
      </c>
      <c r="AN47" s="65">
        <f t="shared" si="25"/>
        <v>0</v>
      </c>
      <c r="AO47" s="65">
        <f t="shared" si="25"/>
        <v>0</v>
      </c>
      <c r="AP47" s="65">
        <f t="shared" si="25"/>
        <v>0</v>
      </c>
      <c r="AQ47" s="65">
        <f t="shared" si="25"/>
        <v>0</v>
      </c>
      <c r="AR47" s="65">
        <f t="shared" si="25"/>
        <v>0</v>
      </c>
      <c r="AS47" s="65">
        <f t="shared" si="25"/>
        <v>0</v>
      </c>
      <c r="AT47" s="65">
        <f t="shared" si="25"/>
        <v>0</v>
      </c>
      <c r="AU47" s="65">
        <f t="shared" si="25"/>
        <v>0</v>
      </c>
      <c r="AV47" s="65">
        <f t="shared" si="25"/>
        <v>0</v>
      </c>
      <c r="AW47" s="65">
        <f t="shared" si="25"/>
        <v>0</v>
      </c>
      <c r="AX47" s="65">
        <f t="shared" si="25"/>
        <v>0</v>
      </c>
      <c r="AY47" s="65">
        <f t="shared" si="25"/>
        <v>0</v>
      </c>
      <c r="AZ47" s="65">
        <f t="shared" si="25"/>
        <v>0</v>
      </c>
      <c r="BA47" s="65">
        <f t="shared" si="25"/>
        <v>0</v>
      </c>
      <c r="BB47" s="65">
        <f t="shared" si="25"/>
        <v>0</v>
      </c>
      <c r="BC47" s="65">
        <f t="shared" si="25"/>
        <v>0</v>
      </c>
      <c r="BD47" s="65">
        <f t="shared" si="25"/>
        <v>0</v>
      </c>
      <c r="BE47" s="65">
        <f t="shared" si="25"/>
        <v>0</v>
      </c>
      <c r="BF47" s="65">
        <f t="shared" si="25"/>
        <v>0</v>
      </c>
      <c r="BG47" s="65">
        <f t="shared" si="25"/>
        <v>0</v>
      </c>
      <c r="BH47" s="65">
        <f t="shared" si="25"/>
        <v>0</v>
      </c>
      <c r="BI47" s="65">
        <f t="shared" si="25"/>
        <v>0</v>
      </c>
      <c r="BJ47" s="65">
        <f t="shared" si="25"/>
        <v>0</v>
      </c>
      <c r="BK47" s="65">
        <f t="shared" si="25"/>
        <v>0</v>
      </c>
      <c r="BL47" s="65">
        <f t="shared" si="25"/>
        <v>0</v>
      </c>
      <c r="BM47" s="65">
        <f t="shared" si="25"/>
        <v>0</v>
      </c>
      <c r="BN47" s="65">
        <f t="shared" si="25"/>
        <v>0</v>
      </c>
      <c r="BO47" s="65">
        <f t="shared" si="25"/>
        <v>0</v>
      </c>
    </row>
    <row r="48" spans="1:67" ht="15" customHeight="1" x14ac:dyDescent="0.2">
      <c r="A48" s="29" t="s">
        <v>217</v>
      </c>
      <c r="B48" s="69">
        <f t="shared" si="9"/>
        <v>1963904.8594836297</v>
      </c>
      <c r="C48" s="69">
        <f t="shared" ref="C48:AH48" si="26">SUM(C40:C47)</f>
        <v>36550.378604855025</v>
      </c>
      <c r="D48" s="69">
        <f t="shared" si="26"/>
        <v>36622.118911472528</v>
      </c>
      <c r="E48" s="69">
        <f t="shared" si="26"/>
        <v>36923.636780983652</v>
      </c>
      <c r="F48" s="69">
        <f t="shared" si="26"/>
        <v>36827.134089738902</v>
      </c>
      <c r="G48" s="69">
        <f t="shared" si="26"/>
        <v>37620.773944513261</v>
      </c>
      <c r="H48" s="69">
        <f t="shared" si="26"/>
        <v>38425.030046047796</v>
      </c>
      <c r="I48" s="69">
        <f t="shared" si="26"/>
        <v>39245.371269613002</v>
      </c>
      <c r="J48" s="69">
        <f t="shared" si="26"/>
        <v>40082.119317649529</v>
      </c>
      <c r="K48" s="69">
        <f t="shared" si="26"/>
        <v>40935.602326646782</v>
      </c>
      <c r="L48" s="69">
        <f t="shared" si="26"/>
        <v>41806.154995823992</v>
      </c>
      <c r="M48" s="69">
        <f t="shared" si="26"/>
        <v>42694.118718384729</v>
      </c>
      <c r="N48" s="69">
        <f t="shared" si="26"/>
        <v>43599.841715396688</v>
      </c>
      <c r="O48" s="69">
        <f t="shared" si="26"/>
        <v>44523.679172348893</v>
      </c>
      <c r="P48" s="69">
        <f t="shared" si="26"/>
        <v>45465.993378440129</v>
      </c>
      <c r="Q48" s="69">
        <f t="shared" si="26"/>
        <v>46427.153868653193</v>
      </c>
      <c r="R48" s="69">
        <f t="shared" si="26"/>
        <v>47407.537568670516</v>
      </c>
      <c r="S48" s="69">
        <f t="shared" si="26"/>
        <v>48407.528942688194</v>
      </c>
      <c r="T48" s="69">
        <f t="shared" si="26"/>
        <v>49427.520144186223</v>
      </c>
      <c r="U48" s="69">
        <f t="shared" si="26"/>
        <v>50467.911169714207</v>
      </c>
      <c r="V48" s="69">
        <f t="shared" si="26"/>
        <v>51529.110015752762</v>
      </c>
      <c r="W48" s="69">
        <f t="shared" si="26"/>
        <v>52611.532838712083</v>
      </c>
      <c r="X48" s="69">
        <f t="shared" si="26"/>
        <v>53715.604118130585</v>
      </c>
      <c r="Y48" s="69">
        <f t="shared" si="26"/>
        <v>54841.756823137461</v>
      </c>
      <c r="Z48" s="69">
        <f t="shared" si="26"/>
        <v>55990.432582244481</v>
      </c>
      <c r="AA48" s="69">
        <f t="shared" si="26"/>
        <v>57162.08185653363</v>
      </c>
      <c r="AB48" s="69">
        <f t="shared" si="26"/>
        <v>58357.164116308573</v>
      </c>
      <c r="AC48" s="69">
        <f t="shared" si="26"/>
        <v>59576.148021279005</v>
      </c>
      <c r="AD48" s="69">
        <f t="shared" si="26"/>
        <v>60497.170205190705</v>
      </c>
      <c r="AE48" s="69">
        <f t="shared" si="26"/>
        <v>46967.247874967477</v>
      </c>
      <c r="AF48" s="69">
        <f t="shared" si="26"/>
        <v>47954.643417583269</v>
      </c>
      <c r="AG48" s="69">
        <f t="shared" si="26"/>
        <v>48961.786871051379</v>
      </c>
      <c r="AH48" s="69">
        <f t="shared" si="26"/>
        <v>49989.073193588854</v>
      </c>
      <c r="AI48" s="69">
        <f t="shared" ref="AI48:BN48" si="27">SUM(AI40:AI47)</f>
        <v>51036.905242577071</v>
      </c>
      <c r="AJ48" s="69">
        <f t="shared" si="27"/>
        <v>52105.693932545058</v>
      </c>
      <c r="AK48" s="69">
        <f t="shared" si="27"/>
        <v>53195.858396312404</v>
      </c>
      <c r="AL48" s="69">
        <f t="shared" si="27"/>
        <v>54307.826149355096</v>
      </c>
      <c r="AM48" s="69">
        <f t="shared" si="27"/>
        <v>44193.794590862257</v>
      </c>
      <c r="AN48" s="69">
        <f t="shared" si="27"/>
        <v>15387.132232394964</v>
      </c>
      <c r="AO48" s="69">
        <f t="shared" si="27"/>
        <v>15720.623415072259</v>
      </c>
      <c r="AP48" s="69">
        <f t="shared" si="27"/>
        <v>16060.784421403099</v>
      </c>
      <c r="AQ48" s="68">
        <f t="shared" si="27"/>
        <v>16407.748647860557</v>
      </c>
      <c r="AR48" s="68">
        <f t="shared" si="27"/>
        <v>16761.652158847166</v>
      </c>
      <c r="AS48" s="68">
        <f t="shared" si="27"/>
        <v>17122.633740053505</v>
      </c>
      <c r="AT48" s="68">
        <f t="shared" si="27"/>
        <v>17490.834952883972</v>
      </c>
      <c r="AU48" s="68">
        <f t="shared" si="27"/>
        <v>17866.400189971046</v>
      </c>
      <c r="AV48" s="68">
        <f t="shared" si="27"/>
        <v>18249.476731799859</v>
      </c>
      <c r="AW48" s="68">
        <f t="shared" si="27"/>
        <v>18640.214804465253</v>
      </c>
      <c r="AX48" s="68">
        <f t="shared" si="27"/>
        <v>19038.767638583951</v>
      </c>
      <c r="AY48" s="68">
        <f t="shared" si="27"/>
        <v>18705.155338335047</v>
      </c>
      <c r="AZ48" s="68">
        <f t="shared" si="27"/>
        <v>0</v>
      </c>
      <c r="BA48" s="68">
        <f t="shared" si="27"/>
        <v>0</v>
      </c>
      <c r="BB48" s="68">
        <f t="shared" si="27"/>
        <v>0</v>
      </c>
      <c r="BC48" s="68">
        <f t="shared" si="27"/>
        <v>0</v>
      </c>
      <c r="BD48" s="68">
        <f t="shared" si="27"/>
        <v>0</v>
      </c>
      <c r="BE48" s="68">
        <f t="shared" si="27"/>
        <v>0</v>
      </c>
      <c r="BF48" s="68">
        <f t="shared" si="27"/>
        <v>0</v>
      </c>
      <c r="BG48" s="68">
        <f t="shared" si="27"/>
        <v>0</v>
      </c>
      <c r="BH48" s="68">
        <f t="shared" si="27"/>
        <v>0</v>
      </c>
      <c r="BI48" s="68">
        <f t="shared" si="27"/>
        <v>0</v>
      </c>
      <c r="BJ48" s="68">
        <f t="shared" si="27"/>
        <v>0</v>
      </c>
      <c r="BK48" s="68">
        <f t="shared" si="27"/>
        <v>0</v>
      </c>
      <c r="BL48" s="68">
        <f t="shared" si="27"/>
        <v>0</v>
      </c>
      <c r="BM48" s="68">
        <f t="shared" si="27"/>
        <v>0</v>
      </c>
      <c r="BN48" s="68">
        <f t="shared" si="27"/>
        <v>0</v>
      </c>
      <c r="BO48" s="68">
        <f t="shared" ref="BO48" si="28">SUM(BO40:BO47)</f>
        <v>0</v>
      </c>
    </row>
    <row r="50" spans="1:67" ht="15" customHeight="1" x14ac:dyDescent="0.2">
      <c r="A50" s="29" t="s">
        <v>744</v>
      </c>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row>
    <row r="51" spans="1:67" ht="15" customHeight="1" x14ac:dyDescent="0.2">
      <c r="A51" s="14" t="s">
        <v>218</v>
      </c>
      <c r="B51" s="67">
        <f>SUM(C51:BO51)</f>
        <v>386156.23970611708</v>
      </c>
      <c r="C51" s="70">
        <f>SUMPRODUCT(C40:C47,'Model Inputs'!$D$73:$D$80)</f>
        <v>6974.1667166740381</v>
      </c>
      <c r="D51" s="27">
        <f>SUMPRODUCT(D40:D47,'Model Inputs'!$D$73:$D$80)</f>
        <v>6944.6555527476739</v>
      </c>
      <c r="E51" s="27">
        <f>SUMPRODUCT(E40:E47,'Model Inputs'!$D$73:$D$80)</f>
        <v>6973.2426478714005</v>
      </c>
      <c r="F51" s="27">
        <f>SUMPRODUCT(F40:F47,'Model Inputs'!$D$73:$D$80)</f>
        <v>6928.3043238435175</v>
      </c>
      <c r="G51" s="27">
        <f>SUMPRODUCT(G40:G47,'Model Inputs'!$D$73:$D$80)</f>
        <v>7079.340363020634</v>
      </c>
      <c r="H51" s="27">
        <f>SUMPRODUCT(H40:H47,'Model Inputs'!$D$73:$D$80)</f>
        <v>7232.4730212620389</v>
      </c>
      <c r="I51" s="27">
        <f>SUMPRODUCT(I40:I47,'Model Inputs'!$D$73:$D$80)</f>
        <v>7388.6683326682696</v>
      </c>
      <c r="J51" s="27">
        <f>SUMPRODUCT(J40:J47,'Model Inputs'!$D$73:$D$80)</f>
        <v>7547.9875503026269</v>
      </c>
      <c r="K51" s="27">
        <f>SUMPRODUCT(K40:K47,'Model Inputs'!$D$73:$D$80)</f>
        <v>7710.4931522896704</v>
      </c>
      <c r="L51" s="27">
        <f>SUMPRODUCT(L40:L47,'Model Inputs'!$D$73:$D$80)</f>
        <v>7876.2488663164559</v>
      </c>
      <c r="M51" s="27">
        <f>SUMPRODUCT(M40:M47,'Model Inputs'!$D$73:$D$80)</f>
        <v>8045.3196946237758</v>
      </c>
      <c r="N51" s="27">
        <f>SUMPRODUCT(N40:N47,'Model Inputs'!$D$73:$D$80)</f>
        <v>8217.7719394972428</v>
      </c>
      <c r="O51" s="27">
        <f>SUMPRODUCT(O40:O47,'Model Inputs'!$D$73:$D$80)</f>
        <v>8393.6732292681791</v>
      </c>
      <c r="P51" s="27">
        <f>SUMPRODUCT(P40:P47,'Model Inputs'!$D$73:$D$80)</f>
        <v>8573.0925448345333</v>
      </c>
      <c r="Q51" s="27">
        <f>SUMPRODUCT(Q40:Q47,'Model Inputs'!$D$73:$D$80)</f>
        <v>8756.1002467122162</v>
      </c>
      <c r="R51" s="27">
        <f>SUMPRODUCT(R40:R47,'Model Inputs'!$D$73:$D$80)</f>
        <v>8942.7681026274513</v>
      </c>
      <c r="S51" s="27">
        <f>SUMPRODUCT(S40:S47,'Model Inputs'!$D$73:$D$80)</f>
        <v>9133.1693156609908</v>
      </c>
      <c r="T51" s="27">
        <f>SUMPRODUCT(T40:T47,'Model Inputs'!$D$73:$D$80)</f>
        <v>9327.3785529552042</v>
      </c>
      <c r="U51" s="27">
        <f>SUMPRODUCT(U40:U47,'Model Inputs'!$D$73:$D$80)</f>
        <v>9525.4719749952965</v>
      </c>
      <c r="V51" s="27">
        <f>SUMPRODUCT(V40:V47,'Model Inputs'!$D$73:$D$80)</f>
        <v>9727.5272654761957</v>
      </c>
      <c r="W51" s="27">
        <f>SUMPRODUCT(W40:W47,'Model Inputs'!$D$73:$D$80)</f>
        <v>9933.6236617667128</v>
      </c>
      <c r="X51" s="27">
        <f>SUMPRODUCT(X40:X47,'Model Inputs'!$D$73:$D$80)</f>
        <v>10143.841985983039</v>
      </c>
      <c r="Y51" s="27">
        <f>SUMPRODUCT(Y40:Y47,'Model Inputs'!$D$73:$D$80)</f>
        <v>10358.264676683692</v>
      </c>
      <c r="Z51" s="27">
        <f>SUMPRODUCT(Z40:Z47,'Model Inputs'!$D$73:$D$80)</f>
        <v>10576.975821198355</v>
      </c>
      <c r="AA51" s="27">
        <f>SUMPRODUCT(AA40:AA47,'Model Inputs'!$D$73:$D$80)</f>
        <v>10800.061188603313</v>
      </c>
      <c r="AB51" s="27">
        <f>SUMPRODUCT(AB40:AB47,'Model Inputs'!$D$73:$D$80)</f>
        <v>11027.608263356371</v>
      </c>
      <c r="AC51" s="27">
        <f>SUMPRODUCT(AC40:AC47,'Model Inputs'!$D$73:$D$80)</f>
        <v>11259.70627960449</v>
      </c>
      <c r="AD51" s="27">
        <f>SUMPRODUCT(AD40:AD47,'Model Inputs'!$D$73:$D$80)</f>
        <v>11443.95449403597</v>
      </c>
      <c r="AE51" s="27">
        <f>SUMPRODUCT(AE40:AE47,'Model Inputs'!$D$73:$D$80)</f>
        <v>9275.4763773968516</v>
      </c>
      <c r="AF51" s="27">
        <f>SUMPRODUCT(AF40:AF47,'Model Inputs'!$D$73:$D$80)</f>
        <v>9471.7704637625357</v>
      </c>
      <c r="AG51" s="27">
        <f>SUMPRODUCT(AG40:AG47,'Model Inputs'!$D$73:$D$80)</f>
        <v>9671.9904318555346</v>
      </c>
      <c r="AH51" s="27">
        <f>SUMPRODUCT(AH40:AH47,'Model Inputs'!$D$73:$D$80)</f>
        <v>9876.2147993103918</v>
      </c>
      <c r="AI51" s="27">
        <f>SUMPRODUCT(AI40:AI47,'Model Inputs'!$D$73:$D$80)</f>
        <v>10084.523654114348</v>
      </c>
      <c r="AJ51" s="27">
        <f>SUMPRODUCT(AJ40:AJ47,'Model Inputs'!$D$73:$D$80)</f>
        <v>10296.998686014382</v>
      </c>
      <c r="AK51" s="27">
        <f>SUMPRODUCT(AK40:AK47,'Model Inputs'!$D$73:$D$80)</f>
        <v>10513.723218552417</v>
      </c>
      <c r="AL51" s="27">
        <f>SUMPRODUCT(AL40:AL47,'Model Inputs'!$D$73:$D$80)</f>
        <v>10734.782241741212</v>
      </c>
      <c r="AM51" s="27">
        <f>SUMPRODUCT(AM40:AM47,'Model Inputs'!$D$73:$D$80)</f>
        <v>8927.7128132188191</v>
      </c>
      <c r="AN51" s="27">
        <f>SUMPRODUCT(AN40:AN47,'Model Inputs'!$D$73:$D$80)</f>
        <v>3742.815948420397</v>
      </c>
      <c r="AO51" s="27">
        <f>SUMPRODUCT(AO40:AO47,'Model Inputs'!$D$73:$D$80)</f>
        <v>3823.935425287847</v>
      </c>
      <c r="AP51" s="27">
        <f>SUMPRODUCT(AP40:AP47,'Model Inputs'!$D$73:$D$80)</f>
        <v>3906.6772916926461</v>
      </c>
      <c r="AQ51" s="27">
        <f>AQ40*'Model Inputs'!$D$73+AQ41*'Model Inputs'!$D$74+AQ42*'Model Inputs'!$D$75+AQ43*'Model Inputs'!$D$76+AQ44*'Model Inputs'!$D$77+AQ45*'Model Inputs'!$D$78+AQ46*'Model Inputs'!$D$79+AQ47*'Model Inputs'!$D$80</f>
        <v>3991.0739954255409</v>
      </c>
      <c r="AR51" s="27">
        <f>AR40*'Model Inputs'!$D$73+AR41*'Model Inputs'!$D$74+AR42*'Model Inputs'!$D$75+AR43*'Model Inputs'!$D$76+AR44*'Model Inputs'!$D$77+AR45*'Model Inputs'!$D$78+AR46*'Model Inputs'!$D$79+AR47*'Model Inputs'!$D$80</f>
        <v>4077.1586332330949</v>
      </c>
      <c r="AS51" s="27">
        <f>AS40*'Model Inputs'!$D$73+AS41*'Model Inputs'!$D$74+AS42*'Model Inputs'!$D$75+AS43*'Model Inputs'!$D$76+AS44*'Model Inputs'!$D$77+AS45*'Model Inputs'!$D$78+AS46*'Model Inputs'!$D$79+AS47*'Model Inputs'!$D$80</f>
        <v>4164.9649637967987</v>
      </c>
      <c r="AT51" s="27">
        <f>AT40*'Model Inputs'!$D$73+AT41*'Model Inputs'!$D$74+AT42*'Model Inputs'!$D$75+AT43*'Model Inputs'!$D$76+AT44*'Model Inputs'!$D$77+AT45*'Model Inputs'!$D$78+AT46*'Model Inputs'!$D$79+AT47*'Model Inputs'!$D$80</f>
        <v>4254.5274209717772</v>
      </c>
      <c r="AU51" s="27">
        <f>AU40*'Model Inputs'!$D$73+AU41*'Model Inputs'!$D$74+AU42*'Model Inputs'!$D$75+AU43*'Model Inputs'!$D$76+AU44*'Model Inputs'!$D$77+AU45*'Model Inputs'!$D$78+AU46*'Model Inputs'!$D$79+AU47*'Model Inputs'!$D$80</f>
        <v>4345.8811272902549</v>
      </c>
      <c r="AV51" s="27">
        <f>AV40*'Model Inputs'!$D$73+AV41*'Model Inputs'!$D$74+AV42*'Model Inputs'!$D$75+AV43*'Model Inputs'!$D$76+AV44*'Model Inputs'!$D$77+AV45*'Model Inputs'!$D$78+AV46*'Model Inputs'!$D$79+AV47*'Model Inputs'!$D$80</f>
        <v>4439.0619077351012</v>
      </c>
      <c r="AW51" s="27">
        <f>AW40*'Model Inputs'!$D$73+AW41*'Model Inputs'!$D$74+AW42*'Model Inputs'!$D$75+AW43*'Model Inputs'!$D$76+AW44*'Model Inputs'!$D$77+AW45*'Model Inputs'!$D$78+AW46*'Model Inputs'!$D$79+AW47*'Model Inputs'!$D$80</f>
        <v>4534.1063037888453</v>
      </c>
      <c r="AX51" s="27">
        <f>AX40*'Model Inputs'!$D$73+AX41*'Model Inputs'!$D$74+AX42*'Model Inputs'!$D$75+AX43*'Model Inputs'!$D$76+AX44*'Model Inputs'!$D$77+AX45*'Model Inputs'!$D$78+AX46*'Model Inputs'!$D$79+AX47*'Model Inputs'!$D$80</f>
        <v>4631.0515877636644</v>
      </c>
      <c r="AY51" s="27">
        <f>AY40*'Model Inputs'!$D$73+AY41*'Model Inputs'!$D$74+AY42*'Model Inputs'!$D$75+AY43*'Model Inputs'!$D$76+AY44*'Model Inputs'!$D$77+AY45*'Model Inputs'!$D$78+AY46*'Model Inputs'!$D$79+AY47*'Model Inputs'!$D$80</f>
        <v>4549.902649865282</v>
      </c>
      <c r="AZ51" s="27">
        <f>AZ40*'Model Inputs'!$D$73+AZ41*'Model Inputs'!$D$74+AZ42*'Model Inputs'!$D$75+AZ43*'Model Inputs'!$D$76+AZ44*'Model Inputs'!$D$77+AZ45*'Model Inputs'!$D$78+AZ46*'Model Inputs'!$D$79+AZ47*'Model Inputs'!$D$80</f>
        <v>0</v>
      </c>
      <c r="BA51" s="27">
        <f>BA40*'Model Inputs'!$D$73+BA41*'Model Inputs'!$D$74+BA42*'Model Inputs'!$D$75+BA43*'Model Inputs'!$D$76+BA44*'Model Inputs'!$D$77+BA45*'Model Inputs'!$D$78+BA46*'Model Inputs'!$D$79+BA47*'Model Inputs'!$D$80</f>
        <v>0</v>
      </c>
      <c r="BB51" s="27">
        <f>BB40*'Model Inputs'!$D$73+BB41*'Model Inputs'!$D$74+BB42*'Model Inputs'!$D$75+BB43*'Model Inputs'!$D$76+BB44*'Model Inputs'!$D$77+BB45*'Model Inputs'!$D$78+BB46*'Model Inputs'!$D$79+BB47*'Model Inputs'!$D$80</f>
        <v>0</v>
      </c>
      <c r="BC51" s="27">
        <f>BC40*'Model Inputs'!$D$73+BC41*'Model Inputs'!$D$74+BC42*'Model Inputs'!$D$75+BC43*'Model Inputs'!$D$76+BC44*'Model Inputs'!$D$77+BC45*'Model Inputs'!$D$78+BC46*'Model Inputs'!$D$79+BC47*'Model Inputs'!$D$80</f>
        <v>0</v>
      </c>
      <c r="BD51" s="27">
        <f>BD40*'Model Inputs'!$D$73+BD41*'Model Inputs'!$D$74+BD42*'Model Inputs'!$D$75+BD43*'Model Inputs'!$D$76+BD44*'Model Inputs'!$D$77+BD45*'Model Inputs'!$D$78+BD46*'Model Inputs'!$D$79+BD47*'Model Inputs'!$D$80</f>
        <v>0</v>
      </c>
      <c r="BE51" s="27">
        <f>BE40*'Model Inputs'!$D$73+BE41*'Model Inputs'!$D$74+BE42*'Model Inputs'!$D$75+BE43*'Model Inputs'!$D$76+BE44*'Model Inputs'!$D$77+BE45*'Model Inputs'!$D$78+BE46*'Model Inputs'!$D$79+BE47*'Model Inputs'!$D$80</f>
        <v>0</v>
      </c>
      <c r="BF51" s="27">
        <f>BF40*'Model Inputs'!$D$73+BF41*'Model Inputs'!$D$74+BF42*'Model Inputs'!$D$75+BF43*'Model Inputs'!$D$76+BF44*'Model Inputs'!$D$77+BF45*'Model Inputs'!$D$78+BF46*'Model Inputs'!$D$79+BF47*'Model Inputs'!$D$80</f>
        <v>0</v>
      </c>
      <c r="BG51" s="27">
        <f>BG40*'Model Inputs'!$D$73+BG41*'Model Inputs'!$D$74+BG42*'Model Inputs'!$D$75+BG43*'Model Inputs'!$D$76+BG44*'Model Inputs'!$D$77+BG45*'Model Inputs'!$D$78+BG46*'Model Inputs'!$D$79+BG47*'Model Inputs'!$D$80</f>
        <v>0</v>
      </c>
      <c r="BH51" s="27">
        <f>BH40*'Model Inputs'!$D$73+BH41*'Model Inputs'!$D$74+BH42*'Model Inputs'!$D$75+BH43*'Model Inputs'!$D$76+BH44*'Model Inputs'!$D$77+BH45*'Model Inputs'!$D$78+BH46*'Model Inputs'!$D$79+BH47*'Model Inputs'!$D$80</f>
        <v>0</v>
      </c>
      <c r="BI51" s="27">
        <f>BI40*'Model Inputs'!$D$73+BI41*'Model Inputs'!$D$74+BI42*'Model Inputs'!$D$75+BI43*'Model Inputs'!$D$76+BI44*'Model Inputs'!$D$77+BI45*'Model Inputs'!$D$78+BI46*'Model Inputs'!$D$79+BI47*'Model Inputs'!$D$80</f>
        <v>0</v>
      </c>
      <c r="BJ51" s="27">
        <f>BJ40*'Model Inputs'!$D$73+BJ41*'Model Inputs'!$D$74+BJ42*'Model Inputs'!$D$75+BJ43*'Model Inputs'!$D$76+BJ44*'Model Inputs'!$D$77+BJ45*'Model Inputs'!$D$78+BJ46*'Model Inputs'!$D$79+BJ47*'Model Inputs'!$D$80</f>
        <v>0</v>
      </c>
      <c r="BK51" s="27">
        <f>BK40*'Model Inputs'!$D$73+BK41*'Model Inputs'!$D$74+BK42*'Model Inputs'!$D$75+BK43*'Model Inputs'!$D$76+BK44*'Model Inputs'!$D$77+BK45*'Model Inputs'!$D$78+BK46*'Model Inputs'!$D$79+BK47*'Model Inputs'!$D$80</f>
        <v>0</v>
      </c>
      <c r="BL51" s="27">
        <f>BL40*'Model Inputs'!$D$73+BL41*'Model Inputs'!$D$74+BL42*'Model Inputs'!$D$75+BL43*'Model Inputs'!$D$76+BL44*'Model Inputs'!$D$77+BL45*'Model Inputs'!$D$78+BL46*'Model Inputs'!$D$79+BL47*'Model Inputs'!$D$80</f>
        <v>0</v>
      </c>
      <c r="BM51" s="27">
        <f>BM40*'Model Inputs'!$D$73+BM41*'Model Inputs'!$D$74+BM42*'Model Inputs'!$D$75+BM43*'Model Inputs'!$D$76+BM44*'Model Inputs'!$D$77+BM45*'Model Inputs'!$D$78+BM46*'Model Inputs'!$D$79+BM47*'Model Inputs'!$D$80</f>
        <v>0</v>
      </c>
      <c r="BN51" s="27">
        <f>BN40*'Model Inputs'!$D$73+BN41*'Model Inputs'!$D$74+BN42*'Model Inputs'!$D$75+BN43*'Model Inputs'!$D$76+BN44*'Model Inputs'!$D$77+BN45*'Model Inputs'!$D$78+BN46*'Model Inputs'!$D$79+BN47*'Model Inputs'!$D$80</f>
        <v>0</v>
      </c>
      <c r="BO51" s="27">
        <f>BO40*'Model Inputs'!$D$73+BO41*'Model Inputs'!$D$74+BO42*'Model Inputs'!$D$75+BO43*'Model Inputs'!$D$76+BO44*'Model Inputs'!$D$77+BO45*'Model Inputs'!$D$78+BO46*'Model Inputs'!$D$79+BO47*'Model Inputs'!$D$80</f>
        <v>0</v>
      </c>
    </row>
    <row r="52" spans="1:67" ht="15" customHeight="1" x14ac:dyDescent="0.2">
      <c r="A52" s="14" t="s">
        <v>219</v>
      </c>
      <c r="B52" s="71">
        <f>IF('Model Inputs'!B12=1,IF('Sensitivities 2P'!$B$13=1,'Sensitivities 2P'!$B$14,'Model Inputs'!B161/B51),1)</f>
        <v>1</v>
      </c>
      <c r="C52" s="72"/>
      <c r="D52" s="72"/>
      <c r="E52" s="72"/>
      <c r="F52" s="72"/>
      <c r="G52" s="72"/>
      <c r="H52" s="72"/>
      <c r="I52" s="72"/>
      <c r="J52" s="72"/>
      <c r="K52" s="72"/>
      <c r="L52" s="72"/>
      <c r="M52" s="72"/>
      <c r="N52" s="72"/>
      <c r="O52" s="72"/>
      <c r="P52" s="72"/>
      <c r="Q52" s="72"/>
      <c r="R52" s="72"/>
      <c r="S52" s="72"/>
      <c r="T52" s="72"/>
      <c r="U52" s="72"/>
      <c r="V52" s="72"/>
      <c r="W52" s="72"/>
      <c r="X52" s="72"/>
      <c r="Y52" s="72"/>
      <c r="Z52" s="72"/>
      <c r="AA52" s="72"/>
      <c r="AB52" s="72"/>
      <c r="AC52" s="72"/>
      <c r="AD52" s="72"/>
      <c r="AE52" s="72"/>
      <c r="AF52" s="72"/>
      <c r="AG52" s="72"/>
      <c r="AH52" s="72"/>
      <c r="AI52" s="72"/>
      <c r="AJ52" s="72"/>
      <c r="AK52" s="72"/>
      <c r="AL52" s="72"/>
      <c r="AM52" s="72"/>
      <c r="AN52" s="72"/>
      <c r="AO52" s="72"/>
      <c r="AP52" s="72"/>
    </row>
    <row r="53" spans="1:67" ht="15" customHeight="1" x14ac:dyDescent="0.2">
      <c r="A53" s="14" t="s">
        <v>209</v>
      </c>
      <c r="B53" s="66">
        <f t="shared" ref="B53:B61" si="29">SUM(C53:BO53)</f>
        <v>8684.858254100056</v>
      </c>
      <c r="C53" s="70">
        <f>C40*'Model Inputs'!$F$73</f>
        <v>252.24100017091683</v>
      </c>
      <c r="D53" s="27">
        <f>D40*'Model Inputs'!$F$73</f>
        <v>247.01729961900358</v>
      </c>
      <c r="E53" s="27">
        <f>E40*'Model Inputs'!$F$73</f>
        <v>246.49572324015207</v>
      </c>
      <c r="F53" s="27">
        <f>F40*'Model Inputs'!$F$73</f>
        <v>243.45981074017271</v>
      </c>
      <c r="G53" s="27">
        <f>G40*'Model Inputs'!$F$73</f>
        <v>248.77265761513655</v>
      </c>
      <c r="H53" s="27">
        <f>H40*'Model Inputs'!$F$73</f>
        <v>254.17264642297019</v>
      </c>
      <c r="I53" s="27">
        <f>I40*'Model Inputs'!$F$73</f>
        <v>259.68063500696047</v>
      </c>
      <c r="J53" s="27">
        <f>J40*'Model Inputs'!$F$73</f>
        <v>265.29878336263062</v>
      </c>
      <c r="K53" s="27">
        <f>K40*'Model Inputs'!$F$73</f>
        <v>271.02929468541407</v>
      </c>
      <c r="L53" s="27">
        <f>L40*'Model Inputs'!$F$73</f>
        <v>276.87441623465327</v>
      </c>
      <c r="M53" s="27">
        <f>M40*'Model Inputs'!$F$73</f>
        <v>282.8364402148772</v>
      </c>
      <c r="N53" s="27">
        <f>N40*'Model Inputs'!$F$73</f>
        <v>288.91770467470565</v>
      </c>
      <c r="O53" s="27">
        <f>O40*'Model Inputs'!$F$73</f>
        <v>295.12059442373067</v>
      </c>
      <c r="P53" s="27">
        <f>P40*'Model Inputs'!$F$73</f>
        <v>301.44754196773619</v>
      </c>
      <c r="Q53" s="27">
        <f>Q40*'Model Inputs'!$F$73</f>
        <v>307.90102846262181</v>
      </c>
      <c r="R53" s="27">
        <f>R40*'Model Inputs'!$F$73</f>
        <v>314.48358468740508</v>
      </c>
      <c r="S53" s="27">
        <f>S40*'Model Inputs'!$F$73</f>
        <v>321.19779203668406</v>
      </c>
      <c r="T53" s="27">
        <f>T40*'Model Inputs'!$F$73</f>
        <v>328.04628353294868</v>
      </c>
      <c r="U53" s="27">
        <f>U40*'Model Inputs'!$F$73</f>
        <v>335.03174485913854</v>
      </c>
      <c r="V53" s="27">
        <f>V40*'Model Inputs'!$F$73</f>
        <v>342.15691541185225</v>
      </c>
      <c r="W53" s="27">
        <f>W40*'Model Inputs'!$F$73</f>
        <v>349.4245893756202</v>
      </c>
      <c r="X53" s="27">
        <f>X40*'Model Inputs'!$F$73</f>
        <v>356.83761681866355</v>
      </c>
      <c r="Y53" s="27">
        <f>Y40*'Model Inputs'!$F$73</f>
        <v>364.39890481056773</v>
      </c>
      <c r="Z53" s="27">
        <f>Z40*'Model Inputs'!$F$73</f>
        <v>372.11141856230995</v>
      </c>
      <c r="AA53" s="27">
        <f>AA40*'Model Inputs'!$F$73</f>
        <v>379.97818258908706</v>
      </c>
      <c r="AB53" s="27">
        <f>AB40*'Model Inputs'!$F$73</f>
        <v>388.00228189639967</v>
      </c>
      <c r="AC53" s="27">
        <f>AC40*'Model Inputs'!$F$73</f>
        <v>396.18686318985857</v>
      </c>
      <c r="AD53" s="27">
        <f>AD40*'Model Inputs'!$F$73</f>
        <v>395.73649948783651</v>
      </c>
      <c r="AE53" s="27">
        <f>AE40*'Model Inputs'!$F$73</f>
        <v>0</v>
      </c>
      <c r="AF53" s="27">
        <f>AF40*'Model Inputs'!$F$73</f>
        <v>0</v>
      </c>
      <c r="AG53" s="27">
        <f>AG40*'Model Inputs'!$F$73</f>
        <v>0</v>
      </c>
      <c r="AH53" s="27">
        <f>AH40*'Model Inputs'!$F$73</f>
        <v>0</v>
      </c>
      <c r="AI53" s="27">
        <f>AI40*'Model Inputs'!$F$73</f>
        <v>0</v>
      </c>
      <c r="AJ53" s="27">
        <f>AJ40*'Model Inputs'!$F$73</f>
        <v>0</v>
      </c>
      <c r="AK53" s="27">
        <f>AK40*'Model Inputs'!$F$73</f>
        <v>0</v>
      </c>
      <c r="AL53" s="27">
        <f>AL40*'Model Inputs'!$F$73</f>
        <v>0</v>
      </c>
      <c r="AM53" s="27">
        <f>AM40*'Model Inputs'!$F$73</f>
        <v>0</v>
      </c>
      <c r="AN53" s="27">
        <f>AN40*'Model Inputs'!$F$73</f>
        <v>0</v>
      </c>
      <c r="AO53" s="27">
        <f>AO40*'Model Inputs'!$F$73</f>
        <v>0</v>
      </c>
      <c r="AP53" s="27">
        <f>AP40*'Model Inputs'!$F$73</f>
        <v>0</v>
      </c>
      <c r="AQ53" s="27">
        <f>AQ40*'Model Inputs'!$F$73</f>
        <v>0</v>
      </c>
      <c r="AR53" s="27">
        <f>AR40*'Model Inputs'!$F$73</f>
        <v>0</v>
      </c>
      <c r="AS53" s="27">
        <f>AS40*'Model Inputs'!$F$73</f>
        <v>0</v>
      </c>
      <c r="AT53" s="27">
        <f>AT40*'Model Inputs'!$F$73</f>
        <v>0</v>
      </c>
      <c r="AU53" s="27">
        <f>AU40*'Model Inputs'!$F$73</f>
        <v>0</v>
      </c>
      <c r="AV53" s="27">
        <f>AV40*'Model Inputs'!$F$73</f>
        <v>0</v>
      </c>
      <c r="AW53" s="27">
        <f>AW40*'Model Inputs'!$F$73</f>
        <v>0</v>
      </c>
      <c r="AX53" s="27">
        <f>AX40*'Model Inputs'!$F$73</f>
        <v>0</v>
      </c>
      <c r="AY53" s="27">
        <f>AY40*'Model Inputs'!$F$73</f>
        <v>0</v>
      </c>
      <c r="AZ53" s="27">
        <f>AZ40*'Model Inputs'!$F$73</f>
        <v>0</v>
      </c>
      <c r="BA53" s="27">
        <f>BA40*'Model Inputs'!$F$73</f>
        <v>0</v>
      </c>
      <c r="BB53" s="27">
        <f>BB40*'Model Inputs'!$F$73</f>
        <v>0</v>
      </c>
      <c r="BC53" s="27">
        <f>BC40*'Model Inputs'!$F$73</f>
        <v>0</v>
      </c>
      <c r="BD53" s="27">
        <f>BD40*'Model Inputs'!$F$73</f>
        <v>0</v>
      </c>
      <c r="BE53" s="27">
        <f>BE40*'Model Inputs'!$F$73</f>
        <v>0</v>
      </c>
      <c r="BF53" s="27">
        <f>BF40*'Model Inputs'!$F$73</f>
        <v>0</v>
      </c>
      <c r="BG53" s="27">
        <f>BG40*'Model Inputs'!$F$73</f>
        <v>0</v>
      </c>
      <c r="BH53" s="27">
        <f>BH40*'Model Inputs'!$F$73</f>
        <v>0</v>
      </c>
      <c r="BI53" s="27">
        <f>BI40*'Model Inputs'!$F$73</f>
        <v>0</v>
      </c>
      <c r="BJ53" s="27">
        <f>BJ40*'Model Inputs'!$F$73</f>
        <v>0</v>
      </c>
      <c r="BK53" s="27">
        <f>BK40*'Model Inputs'!$F$73</f>
        <v>0</v>
      </c>
      <c r="BL53" s="27">
        <f>BL40*'Model Inputs'!$F$73</f>
        <v>0</v>
      </c>
      <c r="BM53" s="27">
        <f>BM40*'Model Inputs'!$F$73</f>
        <v>0</v>
      </c>
      <c r="BN53" s="27">
        <f>BN40*'Model Inputs'!$F$73</f>
        <v>0</v>
      </c>
      <c r="BO53" s="27">
        <f>BO40*'Model Inputs'!$F$73</f>
        <v>0</v>
      </c>
    </row>
    <row r="54" spans="1:67" ht="15" customHeight="1" x14ac:dyDescent="0.2">
      <c r="A54" s="14" t="s">
        <v>210</v>
      </c>
      <c r="B54" s="68">
        <f t="shared" si="29"/>
        <v>5734.4742111293463</v>
      </c>
      <c r="C54" s="27">
        <f>C41*'Model Inputs'!$F$74</f>
        <v>164.15071489279839</v>
      </c>
      <c r="D54" s="27">
        <f>D41*'Model Inputs'!$F$74</f>
        <v>162.92976647779079</v>
      </c>
      <c r="E54" s="27">
        <f>E41*'Model Inputs'!$F$74</f>
        <v>162.61497451625894</v>
      </c>
      <c r="F54" s="27">
        <f>F41*'Model Inputs'!$F$74</f>
        <v>160.68319193745117</v>
      </c>
      <c r="G54" s="27">
        <f>G41*'Model Inputs'!$F$74</f>
        <v>164.19947033932596</v>
      </c>
      <c r="H54" s="27">
        <f>H41*'Model Inputs'!$F$74</f>
        <v>167.7782603572341</v>
      </c>
      <c r="I54" s="27">
        <f>I41*'Model Inputs'!$F$74</f>
        <v>171.4286261755004</v>
      </c>
      <c r="J54" s="27">
        <f>J41*'Model Inputs'!$F$74</f>
        <v>175.15199931013203</v>
      </c>
      <c r="K54" s="27">
        <f>K41*'Model Inputs'!$F$74</f>
        <v>178.94983990745629</v>
      </c>
      <c r="L54" s="27">
        <f>L41*'Model Inputs'!$F$74</f>
        <v>182.82363731672703</v>
      </c>
      <c r="M54" s="27">
        <f>M41*'Model Inputs'!$F$74</f>
        <v>186.77491067418319</v>
      </c>
      <c r="N54" s="27">
        <f>N41*'Model Inputs'!$F$74</f>
        <v>190.80520949878846</v>
      </c>
      <c r="O54" s="27">
        <f>O41*'Model Inputs'!$F$74</f>
        <v>194.91611429988583</v>
      </c>
      <c r="P54" s="27">
        <f>P41*'Model Inputs'!$F$74</f>
        <v>199.1092371970052</v>
      </c>
      <c r="Q54" s="27">
        <f>Q41*'Model Inputs'!$F$74</f>
        <v>203.3862225520669</v>
      </c>
      <c r="R54" s="27">
        <f>R41*'Model Inputs'!$F$74</f>
        <v>207.74874761422984</v>
      </c>
      <c r="S54" s="27">
        <f>S41*'Model Inputs'!$F$74</f>
        <v>212.19852317763608</v>
      </c>
      <c r="T54" s="27">
        <f>T41*'Model Inputs'!$F$74</f>
        <v>216.73729425231042</v>
      </c>
      <c r="U54" s="27">
        <f>U41*'Model Inputs'!$F$74</f>
        <v>221.36684074847821</v>
      </c>
      <c r="V54" s="27">
        <f>V41*'Model Inputs'!$F$74</f>
        <v>226.08897817456941</v>
      </c>
      <c r="W54" s="27">
        <f>W41*'Model Inputs'!$F$74</f>
        <v>230.90555834918243</v>
      </c>
      <c r="X54" s="27">
        <f>X41*'Model Inputs'!$F$74</f>
        <v>235.81847012728767</v>
      </c>
      <c r="Y54" s="27">
        <f>Y41*'Model Inputs'!$F$74</f>
        <v>240.82964014095504</v>
      </c>
      <c r="Z54" s="27">
        <f>Z41*'Model Inputs'!$F$74</f>
        <v>245.94103355489574</v>
      </c>
      <c r="AA54" s="27">
        <f>AA41*'Model Inputs'!$F$74</f>
        <v>251.15465483711526</v>
      </c>
      <c r="AB54" s="27">
        <f>AB41*'Model Inputs'!$F$74</f>
        <v>256.47254854497919</v>
      </c>
      <c r="AC54" s="27">
        <f>AC41*'Model Inputs'!$F$74</f>
        <v>261.8968001270004</v>
      </c>
      <c r="AD54" s="27">
        <f>AD41*'Model Inputs'!$F$74</f>
        <v>261.61294602810159</v>
      </c>
      <c r="AE54" s="27">
        <f>AE41*'Model Inputs'!$F$74</f>
        <v>0</v>
      </c>
      <c r="AF54" s="27">
        <f>AF41*'Model Inputs'!$F$74</f>
        <v>0</v>
      </c>
      <c r="AG54" s="27">
        <f>AG41*'Model Inputs'!$F$74</f>
        <v>0</v>
      </c>
      <c r="AH54" s="27">
        <f>AH41*'Model Inputs'!$F$74</f>
        <v>0</v>
      </c>
      <c r="AI54" s="27">
        <f>AI41*'Model Inputs'!$F$74</f>
        <v>0</v>
      </c>
      <c r="AJ54" s="27">
        <f>AJ41*'Model Inputs'!$F$74</f>
        <v>0</v>
      </c>
      <c r="AK54" s="27">
        <f>AK41*'Model Inputs'!$F$74</f>
        <v>0</v>
      </c>
      <c r="AL54" s="27">
        <f>AL41*'Model Inputs'!$F$74</f>
        <v>0</v>
      </c>
      <c r="AM54" s="27">
        <f>AM41*'Model Inputs'!$F$74</f>
        <v>0</v>
      </c>
      <c r="AN54" s="27">
        <f>AN41*'Model Inputs'!$F$74</f>
        <v>0</v>
      </c>
      <c r="AO54" s="27">
        <f>AO41*'Model Inputs'!$F$74</f>
        <v>0</v>
      </c>
      <c r="AP54" s="27">
        <f>AP41*'Model Inputs'!$F$74</f>
        <v>0</v>
      </c>
      <c r="AQ54" s="27">
        <f>AQ41*'Model Inputs'!$F$74</f>
        <v>0</v>
      </c>
      <c r="AR54" s="27">
        <f>AR41*'Model Inputs'!$F$74</f>
        <v>0</v>
      </c>
      <c r="AS54" s="27">
        <f>AS41*'Model Inputs'!$F$74</f>
        <v>0</v>
      </c>
      <c r="AT54" s="27">
        <f>AT41*'Model Inputs'!$F$74</f>
        <v>0</v>
      </c>
      <c r="AU54" s="27">
        <f>AU41*'Model Inputs'!$F$74</f>
        <v>0</v>
      </c>
      <c r="AV54" s="27">
        <f>AV41*'Model Inputs'!$F$74</f>
        <v>0</v>
      </c>
      <c r="AW54" s="27">
        <f>AW41*'Model Inputs'!$F$74</f>
        <v>0</v>
      </c>
      <c r="AX54" s="27">
        <f>AX41*'Model Inputs'!$F$74</f>
        <v>0</v>
      </c>
      <c r="AY54" s="27">
        <f>AY41*'Model Inputs'!$F$74</f>
        <v>0</v>
      </c>
      <c r="AZ54" s="27">
        <f>AZ41*'Model Inputs'!$F$74</f>
        <v>0</v>
      </c>
      <c r="BA54" s="27">
        <f>BA41*'Model Inputs'!$F$74</f>
        <v>0</v>
      </c>
      <c r="BB54" s="27">
        <f>BB41*'Model Inputs'!$F$74</f>
        <v>0</v>
      </c>
      <c r="BC54" s="27">
        <f>BC41*'Model Inputs'!$F$74</f>
        <v>0</v>
      </c>
      <c r="BD54" s="27">
        <f>BD41*'Model Inputs'!$F$74</f>
        <v>0</v>
      </c>
      <c r="BE54" s="27">
        <f>BE41*'Model Inputs'!$F$74</f>
        <v>0</v>
      </c>
      <c r="BF54" s="27">
        <f>BF41*'Model Inputs'!$F$74</f>
        <v>0</v>
      </c>
      <c r="BG54" s="27">
        <f>BG41*'Model Inputs'!$F$74</f>
        <v>0</v>
      </c>
      <c r="BH54" s="27">
        <f>BH41*'Model Inputs'!$F$74</f>
        <v>0</v>
      </c>
      <c r="BI54" s="27">
        <f>BI41*'Model Inputs'!$F$74</f>
        <v>0</v>
      </c>
      <c r="BJ54" s="27">
        <f>BJ41*'Model Inputs'!$F$74</f>
        <v>0</v>
      </c>
      <c r="BK54" s="27">
        <f>BK41*'Model Inputs'!$F$74</f>
        <v>0</v>
      </c>
      <c r="BL54" s="27">
        <f>BL41*'Model Inputs'!$F$74</f>
        <v>0</v>
      </c>
      <c r="BM54" s="27">
        <f>BM41*'Model Inputs'!$F$74</f>
        <v>0</v>
      </c>
      <c r="BN54" s="27">
        <f>BN41*'Model Inputs'!$F$74</f>
        <v>0</v>
      </c>
      <c r="BO54" s="27">
        <f>BO41*'Model Inputs'!$F$74</f>
        <v>0</v>
      </c>
    </row>
    <row r="55" spans="1:67" ht="15" customHeight="1" x14ac:dyDescent="0.2">
      <c r="A55" s="14" t="s">
        <v>211</v>
      </c>
      <c r="B55" s="68">
        <f t="shared" si="29"/>
        <v>7597.2541422822651</v>
      </c>
      <c r="C55" s="27">
        <f>C42*'Model Inputs'!$F$75</f>
        <v>218.68765410990321</v>
      </c>
      <c r="D55" s="27">
        <f>D42*'Model Inputs'!$F$75</f>
        <v>217.10642583472944</v>
      </c>
      <c r="E55" s="27">
        <f>E42*'Model Inputs'!$F$75</f>
        <v>216.69874444192587</v>
      </c>
      <c r="F55" s="27">
        <f>F42*'Model Inputs'!$F$75</f>
        <v>214.19692765953548</v>
      </c>
      <c r="G55" s="27">
        <f>G42*'Model Inputs'!$F$75</f>
        <v>218.75079640950449</v>
      </c>
      <c r="H55" s="27">
        <f>H42*'Model Inputs'!$F$75</f>
        <v>223.38562282613961</v>
      </c>
      <c r="I55" s="27">
        <f>I42*'Model Inputs'!$F$75</f>
        <v>228.11314577110741</v>
      </c>
      <c r="J55" s="27">
        <f>J42*'Model Inputs'!$F$75</f>
        <v>232.93521917497463</v>
      </c>
      <c r="K55" s="27">
        <f>K42*'Model Inputs'!$F$75</f>
        <v>237.85373404691916</v>
      </c>
      <c r="L55" s="27">
        <f>L42*'Model Inputs'!$F$75</f>
        <v>242.8706192163026</v>
      </c>
      <c r="M55" s="27">
        <f>M42*'Model Inputs'!$F$75</f>
        <v>247.98784208907367</v>
      </c>
      <c r="N55" s="27">
        <f>N42*'Model Inputs'!$F$75</f>
        <v>253.20740941930018</v>
      </c>
      <c r="O55" s="27">
        <f>O42*'Model Inputs'!$F$75</f>
        <v>258.53136809613119</v>
      </c>
      <c r="P55" s="27">
        <f>P42*'Model Inputs'!$F$75</f>
        <v>263.96180594649888</v>
      </c>
      <c r="Q55" s="27">
        <f>Q42*'Model Inputs'!$F$75</f>
        <v>269.50085255387393</v>
      </c>
      <c r="R55" s="27">
        <f>R42*'Model Inputs'!$F$75</f>
        <v>275.15068009339637</v>
      </c>
      <c r="S55" s="27">
        <f>S42*'Model Inputs'!$F$75</f>
        <v>280.91350418370939</v>
      </c>
      <c r="T55" s="27">
        <f>T42*'Model Inputs'!$F$75</f>
        <v>286.79158475582864</v>
      </c>
      <c r="U55" s="27">
        <f>U42*'Model Inputs'!$F$75</f>
        <v>292.78722693939022</v>
      </c>
      <c r="V55" s="27">
        <f>V42*'Model Inputs'!$F$75</f>
        <v>298.90278196662302</v>
      </c>
      <c r="W55" s="27">
        <f>W42*'Model Inputs'!$F$75</f>
        <v>305.14064809440055</v>
      </c>
      <c r="X55" s="27">
        <f>X42*'Model Inputs'!$F$75</f>
        <v>311.50327154473359</v>
      </c>
      <c r="Y55" s="27">
        <f>Y42*'Model Inputs'!$F$75</f>
        <v>317.99314746407327</v>
      </c>
      <c r="Z55" s="27">
        <f>Z42*'Model Inputs'!$F$75</f>
        <v>324.61282090179975</v>
      </c>
      <c r="AA55" s="27">
        <f>AA42*'Model Inputs'!$F$75</f>
        <v>331.3648878082808</v>
      </c>
      <c r="AB55" s="27">
        <f>AB42*'Model Inputs'!$F$75</f>
        <v>338.25199605289146</v>
      </c>
      <c r="AC55" s="27">
        <f>AC42*'Model Inputs'!$F$75</f>
        <v>345.2768464623943</v>
      </c>
      <c r="AD55" s="27">
        <f>AD42*'Model Inputs'!$F$75</f>
        <v>344.77657841882518</v>
      </c>
      <c r="AE55" s="27">
        <f>AE42*'Model Inputs'!$F$75</f>
        <v>0</v>
      </c>
      <c r="AF55" s="27">
        <f>AF42*'Model Inputs'!$F$75</f>
        <v>0</v>
      </c>
      <c r="AG55" s="27">
        <f>AG42*'Model Inputs'!$F$75</f>
        <v>0</v>
      </c>
      <c r="AH55" s="27">
        <f>AH42*'Model Inputs'!$F$75</f>
        <v>0</v>
      </c>
      <c r="AI55" s="27">
        <f>AI42*'Model Inputs'!$F$75</f>
        <v>0</v>
      </c>
      <c r="AJ55" s="27">
        <f>AJ42*'Model Inputs'!$F$75</f>
        <v>0</v>
      </c>
      <c r="AK55" s="27">
        <f>AK42*'Model Inputs'!$F$75</f>
        <v>0</v>
      </c>
      <c r="AL55" s="27">
        <f>AL42*'Model Inputs'!$F$75</f>
        <v>0</v>
      </c>
      <c r="AM55" s="27">
        <f>AM42*'Model Inputs'!$F$75</f>
        <v>0</v>
      </c>
      <c r="AN55" s="27">
        <f>AN42*'Model Inputs'!$F$75</f>
        <v>0</v>
      </c>
      <c r="AO55" s="27">
        <f>AO42*'Model Inputs'!$F$75</f>
        <v>0</v>
      </c>
      <c r="AP55" s="27">
        <f>AP42*'Model Inputs'!$F$75</f>
        <v>0</v>
      </c>
      <c r="AQ55" s="27">
        <f>AQ42*'Model Inputs'!$F$75</f>
        <v>0</v>
      </c>
      <c r="AR55" s="27">
        <f>AR42*'Model Inputs'!$F$75</f>
        <v>0</v>
      </c>
      <c r="AS55" s="27">
        <f>AS42*'Model Inputs'!$F$75</f>
        <v>0</v>
      </c>
      <c r="AT55" s="27">
        <f>AT42*'Model Inputs'!$F$75</f>
        <v>0</v>
      </c>
      <c r="AU55" s="27">
        <f>AU42*'Model Inputs'!$F$75</f>
        <v>0</v>
      </c>
      <c r="AV55" s="27">
        <f>AV42*'Model Inputs'!$F$75</f>
        <v>0</v>
      </c>
      <c r="AW55" s="27">
        <f>AW42*'Model Inputs'!$F$75</f>
        <v>0</v>
      </c>
      <c r="AX55" s="27">
        <f>AX42*'Model Inputs'!$F$75</f>
        <v>0</v>
      </c>
      <c r="AY55" s="27">
        <f>AY42*'Model Inputs'!$F$75</f>
        <v>0</v>
      </c>
      <c r="AZ55" s="27">
        <f>AZ42*'Model Inputs'!$F$75</f>
        <v>0</v>
      </c>
      <c r="BA55" s="27">
        <f>BA42*'Model Inputs'!$F$75</f>
        <v>0</v>
      </c>
      <c r="BB55" s="27">
        <f>BB42*'Model Inputs'!$F$75</f>
        <v>0</v>
      </c>
      <c r="BC55" s="27">
        <f>BC42*'Model Inputs'!$F$75</f>
        <v>0</v>
      </c>
      <c r="BD55" s="27">
        <f>BD42*'Model Inputs'!$F$75</f>
        <v>0</v>
      </c>
      <c r="BE55" s="27">
        <f>BE42*'Model Inputs'!$F$75</f>
        <v>0</v>
      </c>
      <c r="BF55" s="27">
        <f>BF42*'Model Inputs'!$F$75</f>
        <v>0</v>
      </c>
      <c r="BG55" s="27">
        <f>BG42*'Model Inputs'!$F$75</f>
        <v>0</v>
      </c>
      <c r="BH55" s="27">
        <f>BH42*'Model Inputs'!$F$75</f>
        <v>0</v>
      </c>
      <c r="BI55" s="27">
        <f>BI42*'Model Inputs'!$F$75</f>
        <v>0</v>
      </c>
      <c r="BJ55" s="27">
        <f>BJ42*'Model Inputs'!$F$75</f>
        <v>0</v>
      </c>
      <c r="BK55" s="27">
        <f>BK42*'Model Inputs'!$F$75</f>
        <v>0</v>
      </c>
      <c r="BL55" s="27">
        <f>BL42*'Model Inputs'!$F$75</f>
        <v>0</v>
      </c>
      <c r="BM55" s="27">
        <f>BM42*'Model Inputs'!$F$75</f>
        <v>0</v>
      </c>
      <c r="BN55" s="27">
        <f>BN42*'Model Inputs'!$F$75</f>
        <v>0</v>
      </c>
      <c r="BO55" s="27">
        <f>BO42*'Model Inputs'!$F$75</f>
        <v>0</v>
      </c>
    </row>
    <row r="56" spans="1:67" ht="15" customHeight="1" x14ac:dyDescent="0.2">
      <c r="A56" s="14" t="s">
        <v>212</v>
      </c>
      <c r="B56" s="68">
        <f t="shared" si="29"/>
        <v>147431.11285111867</v>
      </c>
      <c r="C56" s="27">
        <f>C43*'Model Inputs'!$F$76</f>
        <v>1832.2851815142822</v>
      </c>
      <c r="D56" s="27">
        <f>D43*'Model Inputs'!$F$76</f>
        <v>1817.5994881665563</v>
      </c>
      <c r="E56" s="27">
        <f>E43*'Model Inputs'!$F$76</f>
        <v>1813.8131380156717</v>
      </c>
      <c r="F56" s="27">
        <f>F43*'Model Inputs'!$F$76</f>
        <v>1790.577458098209</v>
      </c>
      <c r="G56" s="27">
        <f>G43*'Model Inputs'!$F$76</f>
        <v>1832.8716170490966</v>
      </c>
      <c r="H56" s="27">
        <f>H43*'Model Inputs'!$F$76</f>
        <v>1875.9176721591109</v>
      </c>
      <c r="I56" s="27">
        <f>I43*'Model Inputs'!$F$76</f>
        <v>1919.8246483713253</v>
      </c>
      <c r="J56" s="27">
        <f>J43*'Model Inputs'!$F$76</f>
        <v>1964.6097641077845</v>
      </c>
      <c r="K56" s="27">
        <f>K43*'Model Inputs'!$F$76</f>
        <v>2010.2905821589732</v>
      </c>
      <c r="L56" s="27">
        <f>L43*'Model Inputs'!$F$76</f>
        <v>2056.8850165711851</v>
      </c>
      <c r="M56" s="27">
        <f>M43*'Model Inputs'!$F$76</f>
        <v>2104.4113396716411</v>
      </c>
      <c r="N56" s="27">
        <f>N43*'Model Inputs'!$F$76</f>
        <v>2152.888189234106</v>
      </c>
      <c r="O56" s="27">
        <f>O43*'Model Inputs'!$F$76</f>
        <v>2202.3345757878214</v>
      </c>
      <c r="P56" s="27">
        <f>P43*'Model Inputs'!$F$76</f>
        <v>2252.76989007261</v>
      </c>
      <c r="Q56" s="27">
        <f>Q43*'Model Inputs'!$F$76</f>
        <v>2304.213910643095</v>
      </c>
      <c r="R56" s="27">
        <f>R43*'Model Inputs'!$F$76</f>
        <v>2356.6868116249893</v>
      </c>
      <c r="S56" s="27">
        <f>S43*'Model Inputs'!$F$76</f>
        <v>2410.2091706265219</v>
      </c>
      <c r="T56" s="27">
        <f>T43*'Model Inputs'!$F$76</f>
        <v>2464.8019768080853</v>
      </c>
      <c r="U56" s="27">
        <f>U43*'Model Inputs'!$F$76</f>
        <v>2520.4866391132791</v>
      </c>
      <c r="V56" s="27">
        <f>V43*'Model Inputs'!$F$76</f>
        <v>2577.2849946645774</v>
      </c>
      <c r="W56" s="27">
        <f>W43*'Model Inputs'!$F$76</f>
        <v>2635.2193173269015</v>
      </c>
      <c r="X56" s="27">
        <f>X43*'Model Inputs'!$F$76</f>
        <v>2694.3123264424717</v>
      </c>
      <c r="Y56" s="27">
        <f>Y43*'Model Inputs'!$F$76</f>
        <v>2754.5871957403533</v>
      </c>
      <c r="Z56" s="27">
        <f>Z43*'Model Inputs'!$F$76</f>
        <v>2816.0675624241931</v>
      </c>
      <c r="AA56" s="27">
        <f>AA43*'Model Inputs'!$F$76</f>
        <v>2878.7775364417093</v>
      </c>
      <c r="AB56" s="27">
        <f>AB43*'Model Inputs'!$F$76</f>
        <v>2942.7417099395761</v>
      </c>
      <c r="AC56" s="27">
        <f>AC43*'Model Inputs'!$F$76</f>
        <v>3007.9851669074001</v>
      </c>
      <c r="AD56" s="27">
        <f>AD43*'Model Inputs'!$F$76</f>
        <v>3074.5334930145805</v>
      </c>
      <c r="AE56" s="27">
        <f>AE43*'Model Inputs'!$F$76</f>
        <v>3142.412785643905</v>
      </c>
      <c r="AF56" s="27">
        <f>AF43*'Model Inputs'!$F$76</f>
        <v>3211.6496641258159</v>
      </c>
      <c r="AG56" s="27">
        <f>AG43*'Model Inputs'!$F$76</f>
        <v>3282.2712801773646</v>
      </c>
      <c r="AH56" s="27">
        <f>AH43*'Model Inputs'!$F$76</f>
        <v>3354.3053285499445</v>
      </c>
      <c r="AI56" s="27">
        <f>AI43*'Model Inputs'!$F$76</f>
        <v>3427.7800578899764</v>
      </c>
      <c r="AJ56" s="27">
        <f>AJ43*'Model Inputs'!$F$76</f>
        <v>3502.7242818168083</v>
      </c>
      <c r="AK56" s="27">
        <f>AK43*'Model Inputs'!$F$76</f>
        <v>3579.1673902221769</v>
      </c>
      <c r="AL56" s="27">
        <f>AL43*'Model Inputs'!$F$76</f>
        <v>3657.1393607956534</v>
      </c>
      <c r="AM56" s="27">
        <f>AM43*'Model Inputs'!$F$76</f>
        <v>3736.6707707805995</v>
      </c>
      <c r="AN56" s="27">
        <f>AN43*'Model Inputs'!$F$76</f>
        <v>3817.7928089652432</v>
      </c>
      <c r="AO56" s="27">
        <f>AO43*'Model Inputs'!$F$76</f>
        <v>3900.5372879135812</v>
      </c>
      <c r="AP56" s="27">
        <f>AP43*'Model Inputs'!$F$76</f>
        <v>3984.9366564408851</v>
      </c>
      <c r="AQ56" s="27">
        <f>AQ43*'Model Inputs'!$F$76</f>
        <v>4071.0240123387352</v>
      </c>
      <c r="AR56" s="27">
        <f>AR43*'Model Inputs'!$F$76</f>
        <v>4158.8331153545432</v>
      </c>
      <c r="AS56" s="27">
        <f>AS43*'Model Inputs'!$F$76</f>
        <v>4248.3984004306667</v>
      </c>
      <c r="AT56" s="27">
        <f>AT43*'Model Inputs'!$F$76</f>
        <v>4339.7549912083132</v>
      </c>
      <c r="AU56" s="27">
        <f>AU43*'Model Inputs'!$F$76</f>
        <v>4432.9387138015118</v>
      </c>
      <c r="AV56" s="27">
        <f>AV43*'Model Inputs'!$F$76</f>
        <v>4527.9861108465739</v>
      </c>
      <c r="AW56" s="27">
        <f>AW43*'Model Inputs'!$F$76</f>
        <v>4624.9344558325383</v>
      </c>
      <c r="AX56" s="27">
        <f>AX43*'Model Inputs'!$F$76</f>
        <v>4723.8217677182211</v>
      </c>
      <c r="AY56" s="27">
        <f>AY43*'Model Inputs'!$F$76</f>
        <v>4641.0472375695072</v>
      </c>
      <c r="AZ56" s="27">
        <f>AZ43*'Model Inputs'!$F$76</f>
        <v>0</v>
      </c>
      <c r="BA56" s="27">
        <f>BA43*'Model Inputs'!$F$76</f>
        <v>0</v>
      </c>
      <c r="BB56" s="27">
        <f>BB43*'Model Inputs'!$F$76</f>
        <v>0</v>
      </c>
      <c r="BC56" s="27">
        <f>BC43*'Model Inputs'!$F$76</f>
        <v>0</v>
      </c>
      <c r="BD56" s="27">
        <f>BD43*'Model Inputs'!$F$76</f>
        <v>0</v>
      </c>
      <c r="BE56" s="27">
        <f>BE43*'Model Inputs'!$F$76</f>
        <v>0</v>
      </c>
      <c r="BF56" s="27">
        <f>BF43*'Model Inputs'!$F$76</f>
        <v>0</v>
      </c>
      <c r="BG56" s="27">
        <f>BG43*'Model Inputs'!$F$76</f>
        <v>0</v>
      </c>
      <c r="BH56" s="27">
        <f>BH43*'Model Inputs'!$F$76</f>
        <v>0</v>
      </c>
      <c r="BI56" s="27">
        <f>BI43*'Model Inputs'!$F$76</f>
        <v>0</v>
      </c>
      <c r="BJ56" s="27">
        <f>BJ43*'Model Inputs'!$F$76</f>
        <v>0</v>
      </c>
      <c r="BK56" s="27">
        <f>BK43*'Model Inputs'!$F$76</f>
        <v>0</v>
      </c>
      <c r="BL56" s="27">
        <f>BL43*'Model Inputs'!$F$76</f>
        <v>0</v>
      </c>
      <c r="BM56" s="27">
        <f>BM43*'Model Inputs'!$F$76</f>
        <v>0</v>
      </c>
      <c r="BN56" s="27">
        <f>BN43*'Model Inputs'!$F$76</f>
        <v>0</v>
      </c>
      <c r="BO56" s="27">
        <f>BO43*'Model Inputs'!$F$76</f>
        <v>0</v>
      </c>
    </row>
    <row r="57" spans="1:67" ht="15" customHeight="1" x14ac:dyDescent="0.2">
      <c r="A57" s="14" t="s">
        <v>213</v>
      </c>
      <c r="B57" s="68">
        <f t="shared" si="29"/>
        <v>18693.583203046852</v>
      </c>
      <c r="C57" s="27">
        <f>C44*'Model Inputs'!$F$77</f>
        <v>344.17921028578297</v>
      </c>
      <c r="D57" s="27">
        <f>D44*'Model Inputs'!$F$77</f>
        <v>340.96147269869039</v>
      </c>
      <c r="E57" s="27">
        <f>E44*'Model Inputs'!$F$77</f>
        <v>340.13185703738549</v>
      </c>
      <c r="F57" s="27">
        <f>F44*'Model Inputs'!$F$77</f>
        <v>335.04075790697567</v>
      </c>
      <c r="G57" s="27">
        <f>G44*'Model Inputs'!$F$77</f>
        <v>344.30770239154185</v>
      </c>
      <c r="H57" s="27">
        <f>H44*'Model Inputs'!$F$77</f>
        <v>353.73939255583372</v>
      </c>
      <c r="I57" s="27">
        <f>I44*'Model Inputs'!$F$77</f>
        <v>363.35971652341135</v>
      </c>
      <c r="J57" s="27">
        <f>J44*'Model Inputs'!$F$77</f>
        <v>373.17244697034062</v>
      </c>
      <c r="K57" s="27">
        <f>K44*'Model Inputs'!$F$77</f>
        <v>383.18143202620843</v>
      </c>
      <c r="L57" s="27">
        <f>L44*'Model Inputs'!$F$77</f>
        <v>393.3905967831937</v>
      </c>
      <c r="M57" s="27">
        <f>M44*'Model Inputs'!$F$77</f>
        <v>403.80394483531859</v>
      </c>
      <c r="N57" s="27">
        <f>N44*'Model Inputs'!$F$77</f>
        <v>414.42555984848593</v>
      </c>
      <c r="O57" s="27">
        <f>O44*'Model Inputs'!$F$77</f>
        <v>425.25960716191673</v>
      </c>
      <c r="P57" s="27">
        <f>P44*'Model Inputs'!$F$77</f>
        <v>436.310335421616</v>
      </c>
      <c r="Q57" s="27">
        <f>Q44*'Model Inputs'!$F$77</f>
        <v>447.58207824650935</v>
      </c>
      <c r="R57" s="27">
        <f>R44*'Model Inputs'!$F$77</f>
        <v>459.07925592790059</v>
      </c>
      <c r="S57" s="27">
        <f>S44*'Model Inputs'!$F$77</f>
        <v>470.8063771629196</v>
      </c>
      <c r="T57" s="27">
        <f>T44*'Model Inputs'!$F$77</f>
        <v>482.76804082263902</v>
      </c>
      <c r="U57" s="27">
        <f>U44*'Model Inputs'!$F$77</f>
        <v>494.96893775555287</v>
      </c>
      <c r="V57" s="27">
        <f>V44*'Model Inputs'!$F$77</f>
        <v>507.41385262712487</v>
      </c>
      <c r="W57" s="27">
        <f>W44*'Model Inputs'!$F$77</f>
        <v>520.10766579612846</v>
      </c>
      <c r="X57" s="27">
        <f>X44*'Model Inputs'!$F$77</f>
        <v>533.05535522851198</v>
      </c>
      <c r="Y57" s="27">
        <f>Y44*'Model Inputs'!$F$77</f>
        <v>546.26199844954317</v>
      </c>
      <c r="Z57" s="27">
        <f>Z44*'Model Inputs'!$F$77</f>
        <v>559.73277453499509</v>
      </c>
      <c r="AA57" s="27">
        <f>AA44*'Model Inputs'!$F$77</f>
        <v>573.47296614215588</v>
      </c>
      <c r="AB57" s="27">
        <f>AB44*'Model Inputs'!$F$77</f>
        <v>587.48796158146001</v>
      </c>
      <c r="AC57" s="27">
        <f>AC44*'Model Inputs'!$F$77</f>
        <v>601.78325692955025</v>
      </c>
      <c r="AD57" s="27">
        <f>AD44*'Model Inputs'!$F$77</f>
        <v>616.3644581846022</v>
      </c>
      <c r="AE57" s="27">
        <f>AE44*'Model Inputs'!$F$77</f>
        <v>631.23728346475536</v>
      </c>
      <c r="AF57" s="27">
        <f>AF44*'Model Inputs'!$F$77</f>
        <v>646.40756525051154</v>
      </c>
      <c r="AG57" s="27">
        <f>AG44*'Model Inputs'!$F$77</f>
        <v>661.88125267198279</v>
      </c>
      <c r="AH57" s="27">
        <f>AH44*'Model Inputs'!$F$77</f>
        <v>677.66441384188363</v>
      </c>
      <c r="AI57" s="27">
        <f>AI44*'Model Inputs'!$F$77</f>
        <v>693.76323823518237</v>
      </c>
      <c r="AJ57" s="27">
        <f>AJ44*'Model Inputs'!$F$77</f>
        <v>710.18403911634687</v>
      </c>
      <c r="AK57" s="27">
        <f>AK44*'Model Inputs'!$F$77</f>
        <v>726.93325601513482</v>
      </c>
      <c r="AL57" s="27">
        <f>AL44*'Model Inputs'!$F$77</f>
        <v>744.01745725189869</v>
      </c>
      <c r="AM57" s="27">
        <f>AM44*'Model Inputs'!$F$77</f>
        <v>549.34568536285803</v>
      </c>
      <c r="AN57" s="27">
        <f>AN44*'Model Inputs'!$F$77</f>
        <v>0</v>
      </c>
      <c r="AO57" s="27">
        <f>AO44*'Model Inputs'!$F$77</f>
        <v>0</v>
      </c>
      <c r="AP57" s="27">
        <f>AP44*'Model Inputs'!$F$77</f>
        <v>0</v>
      </c>
      <c r="AQ57" s="27">
        <f>AQ44*'Model Inputs'!$F$77</f>
        <v>0</v>
      </c>
      <c r="AR57" s="27">
        <f>AR44*'Model Inputs'!$F$77</f>
        <v>0</v>
      </c>
      <c r="AS57" s="27">
        <f>AS44*'Model Inputs'!$F$77</f>
        <v>0</v>
      </c>
      <c r="AT57" s="27">
        <f>AT44*'Model Inputs'!$F$77</f>
        <v>0</v>
      </c>
      <c r="AU57" s="27">
        <f>AU44*'Model Inputs'!$F$77</f>
        <v>0</v>
      </c>
      <c r="AV57" s="27">
        <f>AV44*'Model Inputs'!$F$77</f>
        <v>0</v>
      </c>
      <c r="AW57" s="27">
        <f>AW44*'Model Inputs'!$F$77</f>
        <v>0</v>
      </c>
      <c r="AX57" s="27">
        <f>AX44*'Model Inputs'!$F$77</f>
        <v>0</v>
      </c>
      <c r="AY57" s="27">
        <f>AY44*'Model Inputs'!$F$77</f>
        <v>0</v>
      </c>
      <c r="AZ57" s="27">
        <f>AZ44*'Model Inputs'!$F$77</f>
        <v>0</v>
      </c>
      <c r="BA57" s="27">
        <f>BA44*'Model Inputs'!$F$77</f>
        <v>0</v>
      </c>
      <c r="BB57" s="27">
        <f>BB44*'Model Inputs'!$F$77</f>
        <v>0</v>
      </c>
      <c r="BC57" s="27">
        <f>BC44*'Model Inputs'!$F$77</f>
        <v>0</v>
      </c>
      <c r="BD57" s="27">
        <f>BD44*'Model Inputs'!$F$77</f>
        <v>0</v>
      </c>
      <c r="BE57" s="27">
        <f>BE44*'Model Inputs'!$F$77</f>
        <v>0</v>
      </c>
      <c r="BF57" s="27">
        <f>BF44*'Model Inputs'!$F$77</f>
        <v>0</v>
      </c>
      <c r="BG57" s="27">
        <f>BG44*'Model Inputs'!$F$77</f>
        <v>0</v>
      </c>
      <c r="BH57" s="27">
        <f>BH44*'Model Inputs'!$F$77</f>
        <v>0</v>
      </c>
      <c r="BI57" s="27">
        <f>BI44*'Model Inputs'!$F$77</f>
        <v>0</v>
      </c>
      <c r="BJ57" s="27">
        <f>BJ44*'Model Inputs'!$F$77</f>
        <v>0</v>
      </c>
      <c r="BK57" s="27">
        <f>BK44*'Model Inputs'!$F$77</f>
        <v>0</v>
      </c>
      <c r="BL57" s="27">
        <f>BL44*'Model Inputs'!$F$77</f>
        <v>0</v>
      </c>
      <c r="BM57" s="27">
        <f>BM44*'Model Inputs'!$F$77</f>
        <v>0</v>
      </c>
      <c r="BN57" s="27">
        <f>BN44*'Model Inputs'!$F$77</f>
        <v>0</v>
      </c>
      <c r="BO57" s="27">
        <f>BO44*'Model Inputs'!$F$77</f>
        <v>0</v>
      </c>
    </row>
    <row r="58" spans="1:67" ht="15" customHeight="1" x14ac:dyDescent="0.2">
      <c r="A58" s="14" t="s">
        <v>214</v>
      </c>
      <c r="B58" s="68">
        <f t="shared" si="29"/>
        <v>173434.62686803052</v>
      </c>
      <c r="C58" s="27">
        <f>C45*'Model Inputs'!$F$78</f>
        <v>3518.4509815459433</v>
      </c>
      <c r="D58" s="27">
        <f>D45*'Model Inputs'!$F$78</f>
        <v>3449.2802439181974</v>
      </c>
      <c r="E58" s="27">
        <f>E45*'Model Inputs'!$F$78</f>
        <v>3442.3736797888364</v>
      </c>
      <c r="F58" s="27">
        <f>F45*'Model Inputs'!$F$78</f>
        <v>3402.1730011875425</v>
      </c>
      <c r="G58" s="27">
        <f>G45*'Model Inputs'!$F$78</f>
        <v>3472.5241887398065</v>
      </c>
      <c r="H58" s="27">
        <f>H45*'Model Inputs'!$F$78</f>
        <v>3544.0292846593302</v>
      </c>
      <c r="I58" s="27">
        <f>I45*'Model Inputs'!$F$78</f>
        <v>3616.9644824972438</v>
      </c>
      <c r="J58" s="27">
        <f>J45*'Model Inputs'!$F$78</f>
        <v>3691.3583842919156</v>
      </c>
      <c r="K58" s="27">
        <f>K45*'Model Inputs'!$F$78</f>
        <v>3767.240164122481</v>
      </c>
      <c r="L58" s="27">
        <f>L45*'Model Inputs'!$F$78</f>
        <v>3844.6395795496569</v>
      </c>
      <c r="M58" s="27">
        <f>M45*'Model Inputs'!$F$78</f>
        <v>3923.5869832853778</v>
      </c>
      <c r="N58" s="27">
        <f>N45*'Model Inputs'!$F$78</f>
        <v>4004.113335095813</v>
      </c>
      <c r="O58" s="27">
        <f>O45*'Model Inputs'!$F$78</f>
        <v>4086.2502139424564</v>
      </c>
      <c r="P58" s="27">
        <f>P45*'Model Inputs'!$F$78</f>
        <v>4170.029830366032</v>
      </c>
      <c r="Q58" s="27">
        <f>Q45*'Model Inputs'!$F$78</f>
        <v>4255.4850391180798</v>
      </c>
      <c r="R58" s="27">
        <f>R45*'Model Inputs'!$F$78</f>
        <v>4342.6493520451677</v>
      </c>
      <c r="S58" s="27">
        <f>S45*'Model Inputs'!$F$78</f>
        <v>4431.5569512307984</v>
      </c>
      <c r="T58" s="27">
        <f>T45*'Model Inputs'!$F$78</f>
        <v>4522.2427024001418</v>
      </c>
      <c r="U58" s="27">
        <f>U45*'Model Inputs'!$F$78</f>
        <v>4614.7421685928721</v>
      </c>
      <c r="V58" s="27">
        <f>V45*'Model Inputs'!$F$78</f>
        <v>4709.0916241094574</v>
      </c>
      <c r="W58" s="27">
        <f>W45*'Model Inputs'!$F$78</f>
        <v>4805.3280687363731</v>
      </c>
      <c r="X58" s="27">
        <f>X45*'Model Inputs'!$F$78</f>
        <v>4903.4892422558287</v>
      </c>
      <c r="Y58" s="27">
        <f>Y45*'Model Inputs'!$F$78</f>
        <v>5003.6136392456719</v>
      </c>
      <c r="Z58" s="27">
        <f>Z45*'Model Inputs'!$F$78</f>
        <v>5105.7405241753131</v>
      </c>
      <c r="AA58" s="27">
        <f>AA45*'Model Inputs'!$F$78</f>
        <v>5209.9099468035474</v>
      </c>
      <c r="AB58" s="27">
        <f>AB45*'Model Inputs'!$F$78</f>
        <v>5316.1627578843445</v>
      </c>
      <c r="AC58" s="27">
        <f>AC45*'Model Inputs'!$F$78</f>
        <v>5424.540625186758</v>
      </c>
      <c r="AD58" s="27">
        <f>AD45*'Model Inputs'!$F$78</f>
        <v>5535.0860498352213</v>
      </c>
      <c r="AE58" s="27">
        <f>AE45*'Model Inputs'!$F$78</f>
        <v>5647.8423829766525</v>
      </c>
      <c r="AF58" s="27">
        <f>AF45*'Model Inputs'!$F$78</f>
        <v>5762.8538427809135</v>
      </c>
      <c r="AG58" s="27">
        <f>AG45*'Model Inputs'!$F$78</f>
        <v>5880.1655317812583</v>
      </c>
      <c r="AH58" s="27">
        <f>AH45*'Model Inputs'!$F$78</f>
        <v>5999.8234545616115</v>
      </c>
      <c r="AI58" s="27">
        <f>AI45*'Model Inputs'!$F$78</f>
        <v>6121.8745357975704</v>
      </c>
      <c r="AJ58" s="27">
        <f>AJ45*'Model Inputs'!$F$78</f>
        <v>6246.366638658249</v>
      </c>
      <c r="AK58" s="27">
        <f>AK45*'Model Inputs'!$F$78</f>
        <v>6373.3485835761412</v>
      </c>
      <c r="AL58" s="27">
        <f>AL45*'Model Inputs'!$F$78</f>
        <v>6502.8701673923906</v>
      </c>
      <c r="AM58" s="27">
        <f>AM45*'Model Inputs'!$F$78</f>
        <v>4786.8286858955116</v>
      </c>
      <c r="AN58" s="27">
        <f>AN45*'Model Inputs'!$F$78</f>
        <v>0</v>
      </c>
      <c r="AO58" s="27">
        <f>AO45*'Model Inputs'!$F$78</f>
        <v>0</v>
      </c>
      <c r="AP58" s="27">
        <f>AP45*'Model Inputs'!$F$78</f>
        <v>0</v>
      </c>
      <c r="AQ58" s="27">
        <f>AQ45*'Model Inputs'!$F$78</f>
        <v>0</v>
      </c>
      <c r="AR58" s="27">
        <f>AR45*'Model Inputs'!$F$78</f>
        <v>0</v>
      </c>
      <c r="AS58" s="27">
        <f>AS45*'Model Inputs'!$F$78</f>
        <v>0</v>
      </c>
      <c r="AT58" s="27">
        <f>AT45*'Model Inputs'!$F$78</f>
        <v>0</v>
      </c>
      <c r="AU58" s="27">
        <f>AU45*'Model Inputs'!$F$78</f>
        <v>0</v>
      </c>
      <c r="AV58" s="27">
        <f>AV45*'Model Inputs'!$F$78</f>
        <v>0</v>
      </c>
      <c r="AW58" s="27">
        <f>AW45*'Model Inputs'!$F$78</f>
        <v>0</v>
      </c>
      <c r="AX58" s="27">
        <f>AX45*'Model Inputs'!$F$78</f>
        <v>0</v>
      </c>
      <c r="AY58" s="27">
        <f>AY45*'Model Inputs'!$F$78</f>
        <v>0</v>
      </c>
      <c r="AZ58" s="27">
        <f>AZ45*'Model Inputs'!$F$78</f>
        <v>0</v>
      </c>
      <c r="BA58" s="27">
        <f>BA45*'Model Inputs'!$F$78</f>
        <v>0</v>
      </c>
      <c r="BB58" s="27">
        <f>BB45*'Model Inputs'!$F$78</f>
        <v>0</v>
      </c>
      <c r="BC58" s="27">
        <f>BC45*'Model Inputs'!$F$78</f>
        <v>0</v>
      </c>
      <c r="BD58" s="27">
        <f>BD45*'Model Inputs'!$F$78</f>
        <v>0</v>
      </c>
      <c r="BE58" s="27">
        <f>BE45*'Model Inputs'!$F$78</f>
        <v>0</v>
      </c>
      <c r="BF58" s="27">
        <f>BF45*'Model Inputs'!$F$78</f>
        <v>0</v>
      </c>
      <c r="BG58" s="27">
        <f>BG45*'Model Inputs'!$F$78</f>
        <v>0</v>
      </c>
      <c r="BH58" s="27">
        <f>BH45*'Model Inputs'!$F$78</f>
        <v>0</v>
      </c>
      <c r="BI58" s="27">
        <f>BI45*'Model Inputs'!$F$78</f>
        <v>0</v>
      </c>
      <c r="BJ58" s="27">
        <f>BJ45*'Model Inputs'!$F$78</f>
        <v>0</v>
      </c>
      <c r="BK58" s="27">
        <f>BK45*'Model Inputs'!$F$78</f>
        <v>0</v>
      </c>
      <c r="BL58" s="27">
        <f>BL45*'Model Inputs'!$F$78</f>
        <v>0</v>
      </c>
      <c r="BM58" s="27">
        <f>BM45*'Model Inputs'!$F$78</f>
        <v>0</v>
      </c>
      <c r="BN58" s="27">
        <f>BN45*'Model Inputs'!$F$78</f>
        <v>0</v>
      </c>
      <c r="BO58" s="27">
        <f>BO45*'Model Inputs'!$F$78</f>
        <v>0</v>
      </c>
    </row>
    <row r="59" spans="1:67" ht="15" customHeight="1" x14ac:dyDescent="0.2">
      <c r="A59" s="14" t="s">
        <v>215</v>
      </c>
      <c r="B59" s="68">
        <f t="shared" si="29"/>
        <v>20302.125448280494</v>
      </c>
      <c r="C59" s="27">
        <f>C46*'Model Inputs'!$F$79</f>
        <v>590.34401765041912</v>
      </c>
      <c r="D59" s="27">
        <f>D46*'Model Inputs'!$F$79</f>
        <v>586.61827440238869</v>
      </c>
      <c r="E59" s="27">
        <f>E46*'Model Inputs'!$F$79</f>
        <v>585.54774419686771</v>
      </c>
      <c r="F59" s="27">
        <f>F46*'Model Inputs'!$F$79</f>
        <v>579.05676941427987</v>
      </c>
      <c r="G59" s="27">
        <f>G46*'Model Inputs'!$F$79</f>
        <v>591.04961806020401</v>
      </c>
      <c r="H59" s="27">
        <f>H46*'Model Inputs'!$F$79</f>
        <v>602.87061042140806</v>
      </c>
      <c r="I59" s="27">
        <f>I46*'Model Inputs'!$F$79</f>
        <v>614.92802262983616</v>
      </c>
      <c r="J59" s="27">
        <f>J46*'Model Inputs'!$F$79</f>
        <v>627.22658308243285</v>
      </c>
      <c r="K59" s="27">
        <f>K46*'Model Inputs'!$F$79</f>
        <v>639.7711147440815</v>
      </c>
      <c r="L59" s="27">
        <f>L46*'Model Inputs'!$F$79</f>
        <v>652.56653703896336</v>
      </c>
      <c r="M59" s="27">
        <f>M46*'Model Inputs'!$F$79</f>
        <v>665.6178677797426</v>
      </c>
      <c r="N59" s="27">
        <f>N46*'Model Inputs'!$F$79</f>
        <v>678.93022513533742</v>
      </c>
      <c r="O59" s="27">
        <f>O46*'Model Inputs'!$F$79</f>
        <v>692.50882963804429</v>
      </c>
      <c r="P59" s="27">
        <f>P46*'Model Inputs'!$F$79</f>
        <v>706.35900623080511</v>
      </c>
      <c r="Q59" s="27">
        <f>Q46*'Model Inputs'!$F$79</f>
        <v>720.48618635542118</v>
      </c>
      <c r="R59" s="27">
        <f>R46*'Model Inputs'!$F$79</f>
        <v>734.89591008252967</v>
      </c>
      <c r="S59" s="27">
        <f>S46*'Model Inputs'!$F$79</f>
        <v>749.59382828418029</v>
      </c>
      <c r="T59" s="27">
        <f>T46*'Model Inputs'!$F$79</f>
        <v>764.58570484986387</v>
      </c>
      <c r="U59" s="27">
        <f>U46*'Model Inputs'!$F$79</f>
        <v>779.8774189468611</v>
      </c>
      <c r="V59" s="27">
        <f>V46*'Model Inputs'!$F$79</f>
        <v>795.4749673257985</v>
      </c>
      <c r="W59" s="27">
        <f>W46*'Model Inputs'!$F$79</f>
        <v>811.38446667231449</v>
      </c>
      <c r="X59" s="27">
        <f>X46*'Model Inputs'!$F$79</f>
        <v>827.61215600576054</v>
      </c>
      <c r="Y59" s="27">
        <f>Y46*'Model Inputs'!$F$79</f>
        <v>844.164399125876</v>
      </c>
      <c r="Z59" s="27">
        <f>Z46*'Model Inputs'!$F$79</f>
        <v>861.04768710839357</v>
      </c>
      <c r="AA59" s="27">
        <f>AA46*'Model Inputs'!$F$79</f>
        <v>878.26864085056138</v>
      </c>
      <c r="AB59" s="27">
        <f>AB46*'Model Inputs'!$F$79</f>
        <v>895.83401366757266</v>
      </c>
      <c r="AC59" s="27">
        <f>AC46*'Model Inputs'!$F$79</f>
        <v>913.75069394092418</v>
      </c>
      <c r="AD59" s="27">
        <f>AD46*'Model Inputs'!$F$79</f>
        <v>911.7541546396277</v>
      </c>
      <c r="AE59" s="27">
        <f>AE46*'Model Inputs'!$F$79</f>
        <v>0</v>
      </c>
      <c r="AF59" s="27">
        <f>AF46*'Model Inputs'!$F$79</f>
        <v>0</v>
      </c>
      <c r="AG59" s="27">
        <f>AG46*'Model Inputs'!$F$79</f>
        <v>0</v>
      </c>
      <c r="AH59" s="27">
        <f>AH46*'Model Inputs'!$F$79</f>
        <v>0</v>
      </c>
      <c r="AI59" s="27">
        <f>AI46*'Model Inputs'!$F$79</f>
        <v>0</v>
      </c>
      <c r="AJ59" s="27">
        <f>AJ46*'Model Inputs'!$F$79</f>
        <v>0</v>
      </c>
      <c r="AK59" s="27">
        <f>AK46*'Model Inputs'!$F$79</f>
        <v>0</v>
      </c>
      <c r="AL59" s="27">
        <f>AL46*'Model Inputs'!$F$79</f>
        <v>0</v>
      </c>
      <c r="AM59" s="27">
        <f>AM46*'Model Inputs'!$F$79</f>
        <v>0</v>
      </c>
      <c r="AN59" s="27">
        <f>AN46*'Model Inputs'!$F$79</f>
        <v>0</v>
      </c>
      <c r="AO59" s="27">
        <f>AO46*'Model Inputs'!$F$79</f>
        <v>0</v>
      </c>
      <c r="AP59" s="27">
        <f>AP46*'Model Inputs'!$F$79</f>
        <v>0</v>
      </c>
      <c r="AQ59" s="27">
        <f>AQ46*'Model Inputs'!$F$79</f>
        <v>0</v>
      </c>
      <c r="AR59" s="27">
        <f>AR46*'Model Inputs'!$F$79</f>
        <v>0</v>
      </c>
      <c r="AS59" s="27">
        <f>AS46*'Model Inputs'!$F$79</f>
        <v>0</v>
      </c>
      <c r="AT59" s="27">
        <f>AT46*'Model Inputs'!$F$79</f>
        <v>0</v>
      </c>
      <c r="AU59" s="27">
        <f>AU46*'Model Inputs'!$F$79</f>
        <v>0</v>
      </c>
      <c r="AV59" s="27">
        <f>AV46*'Model Inputs'!$F$79</f>
        <v>0</v>
      </c>
      <c r="AW59" s="27">
        <f>AW46*'Model Inputs'!$F$79</f>
        <v>0</v>
      </c>
      <c r="AX59" s="27">
        <f>AX46*'Model Inputs'!$F$79</f>
        <v>0</v>
      </c>
      <c r="AY59" s="27">
        <f>AY46*'Model Inputs'!$F$79</f>
        <v>0</v>
      </c>
      <c r="AZ59" s="27">
        <f>AZ46*'Model Inputs'!$F$79</f>
        <v>0</v>
      </c>
      <c r="BA59" s="27">
        <f>BA46*'Model Inputs'!$F$79</f>
        <v>0</v>
      </c>
      <c r="BB59" s="27">
        <f>BB46*'Model Inputs'!$F$79</f>
        <v>0</v>
      </c>
      <c r="BC59" s="27">
        <f>BC46*'Model Inputs'!$F$79</f>
        <v>0</v>
      </c>
      <c r="BD59" s="27">
        <f>BD46*'Model Inputs'!$F$79</f>
        <v>0</v>
      </c>
      <c r="BE59" s="27">
        <f>BE46*'Model Inputs'!$F$79</f>
        <v>0</v>
      </c>
      <c r="BF59" s="27">
        <f>BF46*'Model Inputs'!$F$79</f>
        <v>0</v>
      </c>
      <c r="BG59" s="27">
        <f>BG46*'Model Inputs'!$F$79</f>
        <v>0</v>
      </c>
      <c r="BH59" s="27">
        <f>BH46*'Model Inputs'!$F$79</f>
        <v>0</v>
      </c>
      <c r="BI59" s="27">
        <f>BI46*'Model Inputs'!$F$79</f>
        <v>0</v>
      </c>
      <c r="BJ59" s="27">
        <f>BJ46*'Model Inputs'!$F$79</f>
        <v>0</v>
      </c>
      <c r="BK59" s="27">
        <f>BK46*'Model Inputs'!$F$79</f>
        <v>0</v>
      </c>
      <c r="BL59" s="27">
        <f>BL46*'Model Inputs'!$F$79</f>
        <v>0</v>
      </c>
      <c r="BM59" s="27">
        <f>BM46*'Model Inputs'!$F$79</f>
        <v>0</v>
      </c>
      <c r="BN59" s="27">
        <f>BN46*'Model Inputs'!$F$79</f>
        <v>0</v>
      </c>
      <c r="BO59" s="27">
        <f>BO46*'Model Inputs'!$F$79</f>
        <v>0</v>
      </c>
    </row>
    <row r="60" spans="1:67" ht="15" customHeight="1" x14ac:dyDescent="0.2">
      <c r="A60" s="14" t="s">
        <v>216</v>
      </c>
      <c r="B60" s="68">
        <f t="shared" si="29"/>
        <v>14963.612810739844</v>
      </c>
      <c r="C60" s="27">
        <f>C47*'Model Inputs'!$F$80</f>
        <v>278.1822841893125</v>
      </c>
      <c r="D60" s="27">
        <f>D47*'Model Inputs'!$F$80</f>
        <v>352.0107044631859</v>
      </c>
      <c r="E60" s="27">
        <f>E47*'Model Inputs'!$F$80</f>
        <v>398.30988327900479</v>
      </c>
      <c r="F60" s="27">
        <f>F47*'Model Inputs'!$F$80</f>
        <v>437.10108715171793</v>
      </c>
      <c r="G60" s="27">
        <f>G47*'Model Inputs'!$F$80</f>
        <v>445.86039125200801</v>
      </c>
      <c r="H60" s="27">
        <f>H47*'Model Inputs'!$F$80</f>
        <v>454.61969535229815</v>
      </c>
      <c r="I60" s="27">
        <f>I47*'Model Inputs'!$F$80</f>
        <v>463.55418553459396</v>
      </c>
      <c r="J60" s="27">
        <f>J47*'Model Inputs'!$F$80</f>
        <v>472.66736552053578</v>
      </c>
      <c r="K60" s="27">
        <f>K47*'Model Inputs'!$F$80</f>
        <v>481.9628091061964</v>
      </c>
      <c r="L60" s="27">
        <f>L47*'Model Inputs'!$F$80</f>
        <v>491.44416156357028</v>
      </c>
      <c r="M60" s="27">
        <f>M47*'Model Inputs'!$F$80</f>
        <v>501.11514107009162</v>
      </c>
      <c r="N60" s="27">
        <f>N47*'Model Inputs'!$F$80</f>
        <v>510.97954016674333</v>
      </c>
      <c r="O60" s="27">
        <f>O47*'Model Inputs'!$F$80</f>
        <v>521.04122724532817</v>
      </c>
      <c r="P60" s="27">
        <f>P47*'Model Inputs'!$F$80</f>
        <v>531.3041480654847</v>
      </c>
      <c r="Q60" s="27">
        <f>Q47*'Model Inputs'!$F$80</f>
        <v>541.77232730204423</v>
      </c>
      <c r="R60" s="27">
        <f>R47*'Model Inputs'!$F$80</f>
        <v>552.4498701233349</v>
      </c>
      <c r="S60" s="27">
        <f>S47*'Model Inputs'!$F$80</f>
        <v>563.34096380105166</v>
      </c>
      <c r="T60" s="27">
        <f>T47*'Model Inputs'!$F$80</f>
        <v>574.44987935232268</v>
      </c>
      <c r="U60" s="27">
        <f>U47*'Model Inputs'!$F$80</f>
        <v>585.78097321461894</v>
      </c>
      <c r="V60" s="27">
        <f>V47*'Model Inputs'!$F$80</f>
        <v>597.33868895416128</v>
      </c>
      <c r="W60" s="27">
        <f>W47*'Model Inputs'!$F$80</f>
        <v>609.12755900849436</v>
      </c>
      <c r="X60" s="27">
        <f>X47*'Model Inputs'!$F$80</f>
        <v>621.15220646391424</v>
      </c>
      <c r="Y60" s="27">
        <f>Y47*'Model Inputs'!$F$80</f>
        <v>633.41734686844245</v>
      </c>
      <c r="Z60" s="27">
        <f>Z47*'Model Inputs'!$F$80</f>
        <v>645.92779008106118</v>
      </c>
      <c r="AA60" s="27">
        <f>AA47*'Model Inputs'!$F$80</f>
        <v>658.68844215793229</v>
      </c>
      <c r="AB60" s="27">
        <f>AB47*'Model Inputs'!$F$80</f>
        <v>671.70430727634096</v>
      </c>
      <c r="AC60" s="27">
        <f>AC47*'Model Inputs'!$F$80</f>
        <v>684.98048969711772</v>
      </c>
      <c r="AD60" s="27">
        <f>AD47*'Model Inputs'!$F$80</f>
        <v>683.32934247893445</v>
      </c>
      <c r="AE60" s="27">
        <f>AE47*'Model Inputs'!$F$80</f>
        <v>0</v>
      </c>
      <c r="AF60" s="27">
        <f>AF47*'Model Inputs'!$F$80</f>
        <v>0</v>
      </c>
      <c r="AG60" s="27">
        <f>AG47*'Model Inputs'!$F$80</f>
        <v>0</v>
      </c>
      <c r="AH60" s="27">
        <f>AH47*'Model Inputs'!$F$80</f>
        <v>0</v>
      </c>
      <c r="AI60" s="27">
        <f>AI47*'Model Inputs'!$F$80</f>
        <v>0</v>
      </c>
      <c r="AJ60" s="27">
        <f>AJ47*'Model Inputs'!$F$80</f>
        <v>0</v>
      </c>
      <c r="AK60" s="27">
        <f>AK47*'Model Inputs'!$F$80</f>
        <v>0</v>
      </c>
      <c r="AL60" s="27">
        <f>AL47*'Model Inputs'!$F$80</f>
        <v>0</v>
      </c>
      <c r="AM60" s="27">
        <f>AM47*'Model Inputs'!$F$80</f>
        <v>0</v>
      </c>
      <c r="AN60" s="27">
        <f>AN47*'Model Inputs'!$F$80</f>
        <v>0</v>
      </c>
      <c r="AO60" s="27">
        <f>AO47*'Model Inputs'!$F$80</f>
        <v>0</v>
      </c>
      <c r="AP60" s="27">
        <f>AP47*'Model Inputs'!$F$80</f>
        <v>0</v>
      </c>
      <c r="AQ60" s="27">
        <f>AQ47*'Model Inputs'!$F$80</f>
        <v>0</v>
      </c>
      <c r="AR60" s="27">
        <f>AR47*'Model Inputs'!$F$80</f>
        <v>0</v>
      </c>
      <c r="AS60" s="27">
        <f>AS47*'Model Inputs'!$F$80</f>
        <v>0</v>
      </c>
      <c r="AT60" s="27">
        <f>AT47*'Model Inputs'!$F$80</f>
        <v>0</v>
      </c>
      <c r="AU60" s="27">
        <f>AU47*'Model Inputs'!$F$80</f>
        <v>0</v>
      </c>
      <c r="AV60" s="27">
        <f>AV47*'Model Inputs'!$F$80</f>
        <v>0</v>
      </c>
      <c r="AW60" s="27">
        <f>AW47*'Model Inputs'!$F$80</f>
        <v>0</v>
      </c>
      <c r="AX60" s="27">
        <f>AX47*'Model Inputs'!$F$80</f>
        <v>0</v>
      </c>
      <c r="AY60" s="27">
        <f>AY47*'Model Inputs'!$F$80</f>
        <v>0</v>
      </c>
      <c r="AZ60" s="27">
        <f>AZ47*'Model Inputs'!$F$80</f>
        <v>0</v>
      </c>
      <c r="BA60" s="27">
        <f>BA47*'Model Inputs'!$F$80</f>
        <v>0</v>
      </c>
      <c r="BB60" s="27">
        <f>BB47*'Model Inputs'!$F$80</f>
        <v>0</v>
      </c>
      <c r="BC60" s="27">
        <f>BC47*'Model Inputs'!$F$80</f>
        <v>0</v>
      </c>
      <c r="BD60" s="27">
        <f>BD47*'Model Inputs'!$F$80</f>
        <v>0</v>
      </c>
      <c r="BE60" s="27">
        <f>BE47*'Model Inputs'!$F$80</f>
        <v>0</v>
      </c>
      <c r="BF60" s="27">
        <f>BF47*'Model Inputs'!$F$80</f>
        <v>0</v>
      </c>
      <c r="BG60" s="27">
        <f>BG47*'Model Inputs'!$F$80</f>
        <v>0</v>
      </c>
      <c r="BH60" s="27">
        <f>BH47*'Model Inputs'!$F$80</f>
        <v>0</v>
      </c>
      <c r="BI60" s="27">
        <f>BI47*'Model Inputs'!$F$80</f>
        <v>0</v>
      </c>
      <c r="BJ60" s="27">
        <f>BJ47*'Model Inputs'!$F$80</f>
        <v>0</v>
      </c>
      <c r="BK60" s="27">
        <f>BK47*'Model Inputs'!$F$80</f>
        <v>0</v>
      </c>
      <c r="BL60" s="27">
        <f>BL47*'Model Inputs'!$F$80</f>
        <v>0</v>
      </c>
      <c r="BM60" s="27">
        <f>BM47*'Model Inputs'!$F$80</f>
        <v>0</v>
      </c>
      <c r="BN60" s="27">
        <f>BN47*'Model Inputs'!$F$80</f>
        <v>0</v>
      </c>
      <c r="BO60" s="27">
        <f>BO47*'Model Inputs'!$F$80</f>
        <v>0</v>
      </c>
    </row>
    <row r="61" spans="1:67" ht="15" customHeight="1" x14ac:dyDescent="0.2">
      <c r="A61" s="29" t="s">
        <v>220</v>
      </c>
      <c r="B61" s="69">
        <f t="shared" si="29"/>
        <v>396841.64778872806</v>
      </c>
      <c r="C61" s="69">
        <f t="shared" ref="C61:AH61" si="30">SUM(C53:C60)</f>
        <v>7198.5210443593587</v>
      </c>
      <c r="D61" s="69">
        <f t="shared" si="30"/>
        <v>7173.5236755805427</v>
      </c>
      <c r="E61" s="69">
        <f t="shared" si="30"/>
        <v>7205.9857445161033</v>
      </c>
      <c r="F61" s="69">
        <f t="shared" si="30"/>
        <v>7162.2890040958846</v>
      </c>
      <c r="G61" s="69">
        <f t="shared" si="30"/>
        <v>7318.3364418566252</v>
      </c>
      <c r="H61" s="69">
        <f t="shared" si="30"/>
        <v>7476.5131847543253</v>
      </c>
      <c r="I61" s="69">
        <f t="shared" si="30"/>
        <v>7637.8534625099783</v>
      </c>
      <c r="J61" s="69">
        <f t="shared" si="30"/>
        <v>7802.4205458207471</v>
      </c>
      <c r="K61" s="69">
        <f t="shared" si="30"/>
        <v>7970.2789707977308</v>
      </c>
      <c r="L61" s="69">
        <f t="shared" si="30"/>
        <v>8141.4945642742523</v>
      </c>
      <c r="M61" s="69">
        <f t="shared" si="30"/>
        <v>8316.134469620305</v>
      </c>
      <c r="N61" s="69">
        <f t="shared" si="30"/>
        <v>8494.26717307328</v>
      </c>
      <c r="O61" s="69">
        <f t="shared" si="30"/>
        <v>8675.9625305953141</v>
      </c>
      <c r="P61" s="69">
        <f t="shared" si="30"/>
        <v>8861.2917952677872</v>
      </c>
      <c r="Q61" s="69">
        <f t="shared" si="30"/>
        <v>9050.3276452337122</v>
      </c>
      <c r="R61" s="69">
        <f t="shared" si="30"/>
        <v>9243.1442121989548</v>
      </c>
      <c r="S61" s="69">
        <f t="shared" si="30"/>
        <v>9439.8171105034999</v>
      </c>
      <c r="T61" s="69">
        <f t="shared" si="30"/>
        <v>9640.4234667741421</v>
      </c>
      <c r="U61" s="69">
        <f t="shared" si="30"/>
        <v>9845.0419501701908</v>
      </c>
      <c r="V61" s="69">
        <f t="shared" si="30"/>
        <v>10053.752803234165</v>
      </c>
      <c r="W61" s="69">
        <f t="shared" si="30"/>
        <v>10266.637873359416</v>
      </c>
      <c r="X61" s="69">
        <f t="shared" si="30"/>
        <v>10483.780644887171</v>
      </c>
      <c r="Y61" s="69">
        <f t="shared" si="30"/>
        <v>10705.266271845481</v>
      </c>
      <c r="Z61" s="69">
        <f t="shared" si="30"/>
        <v>10931.181611342961</v>
      </c>
      <c r="AA61" s="69">
        <f t="shared" si="30"/>
        <v>11161.61525763039</v>
      </c>
      <c r="AB61" s="69">
        <f t="shared" si="30"/>
        <v>11396.657576843565</v>
      </c>
      <c r="AC61" s="69">
        <f t="shared" si="30"/>
        <v>11636.400742441005</v>
      </c>
      <c r="AD61" s="69">
        <f t="shared" si="30"/>
        <v>11823.193522087728</v>
      </c>
      <c r="AE61" s="69">
        <f t="shared" si="30"/>
        <v>9421.4924520853128</v>
      </c>
      <c r="AF61" s="69">
        <f t="shared" si="30"/>
        <v>9620.9110721572415</v>
      </c>
      <c r="AG61" s="69">
        <f t="shared" si="30"/>
        <v>9824.3180646306064</v>
      </c>
      <c r="AH61" s="69">
        <f t="shared" si="30"/>
        <v>10031.79319695344</v>
      </c>
      <c r="AI61" s="69">
        <f t="shared" ref="AI61:BN61" si="31">SUM(AI53:AI60)</f>
        <v>10243.417831922729</v>
      </c>
      <c r="AJ61" s="69">
        <f t="shared" si="31"/>
        <v>10459.274959591403</v>
      </c>
      <c r="AK61" s="69">
        <f t="shared" si="31"/>
        <v>10679.449229813454</v>
      </c>
      <c r="AL61" s="69">
        <f t="shared" si="31"/>
        <v>10904.026985439943</v>
      </c>
      <c r="AM61" s="69">
        <f t="shared" si="31"/>
        <v>9072.8451420389683</v>
      </c>
      <c r="AN61" s="69">
        <f t="shared" si="31"/>
        <v>3817.7928089652432</v>
      </c>
      <c r="AO61" s="69">
        <f t="shared" si="31"/>
        <v>3900.5372879135812</v>
      </c>
      <c r="AP61" s="69">
        <f t="shared" si="31"/>
        <v>3984.9366564408851</v>
      </c>
      <c r="AQ61" s="68">
        <f t="shared" si="31"/>
        <v>4071.0240123387352</v>
      </c>
      <c r="AR61" s="68">
        <f t="shared" si="31"/>
        <v>4158.8331153545432</v>
      </c>
      <c r="AS61" s="68">
        <f t="shared" si="31"/>
        <v>4248.3984004306667</v>
      </c>
      <c r="AT61" s="68">
        <f t="shared" si="31"/>
        <v>4339.7549912083132</v>
      </c>
      <c r="AU61" s="68">
        <f t="shared" si="31"/>
        <v>4432.9387138015118</v>
      </c>
      <c r="AV61" s="68">
        <f t="shared" si="31"/>
        <v>4527.9861108465739</v>
      </c>
      <c r="AW61" s="68">
        <f t="shared" si="31"/>
        <v>4624.9344558325383</v>
      </c>
      <c r="AX61" s="68">
        <f t="shared" si="31"/>
        <v>4723.8217677182211</v>
      </c>
      <c r="AY61" s="68">
        <f t="shared" si="31"/>
        <v>4641.0472375695072</v>
      </c>
      <c r="AZ61" s="68">
        <f t="shared" si="31"/>
        <v>0</v>
      </c>
      <c r="BA61" s="68">
        <f t="shared" si="31"/>
        <v>0</v>
      </c>
      <c r="BB61" s="68">
        <f t="shared" si="31"/>
        <v>0</v>
      </c>
      <c r="BC61" s="68">
        <f t="shared" si="31"/>
        <v>0</v>
      </c>
      <c r="BD61" s="68">
        <f t="shared" si="31"/>
        <v>0</v>
      </c>
      <c r="BE61" s="68">
        <f t="shared" si="31"/>
        <v>0</v>
      </c>
      <c r="BF61" s="68">
        <f t="shared" si="31"/>
        <v>0</v>
      </c>
      <c r="BG61" s="68">
        <f t="shared" si="31"/>
        <v>0</v>
      </c>
      <c r="BH61" s="68">
        <f t="shared" si="31"/>
        <v>0</v>
      </c>
      <c r="BI61" s="68">
        <f t="shared" si="31"/>
        <v>0</v>
      </c>
      <c r="BJ61" s="68">
        <f t="shared" si="31"/>
        <v>0</v>
      </c>
      <c r="BK61" s="68">
        <f t="shared" si="31"/>
        <v>0</v>
      </c>
      <c r="BL61" s="68">
        <f t="shared" si="31"/>
        <v>0</v>
      </c>
      <c r="BM61" s="68">
        <f t="shared" si="31"/>
        <v>0</v>
      </c>
      <c r="BN61" s="68">
        <f t="shared" si="31"/>
        <v>0</v>
      </c>
      <c r="BO61" s="68">
        <f t="shared" ref="BO61" si="32">SUM(BO53:BO60)</f>
        <v>0</v>
      </c>
    </row>
    <row r="63" spans="1:67" ht="15" customHeight="1" x14ac:dyDescent="0.2">
      <c r="A63" s="29" t="s">
        <v>745</v>
      </c>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row>
    <row r="64" spans="1:67" ht="15" customHeight="1" x14ac:dyDescent="0.2">
      <c r="A64" s="14" t="s">
        <v>221</v>
      </c>
      <c r="B64" s="72"/>
      <c r="C64" s="27">
        <f>1+'Model Inputs'!$B$8</f>
        <v>1</v>
      </c>
      <c r="D64" s="27">
        <f>C64*(1+'Model Inputs'!$B$9)</f>
        <v>1.02</v>
      </c>
      <c r="E64" s="27">
        <f>D64*(1+'Model Inputs'!$B$9)</f>
        <v>1.0404</v>
      </c>
      <c r="F64" s="27">
        <f>E64*(1+'Model Inputs'!$B$9)</f>
        <v>1.0612079999999999</v>
      </c>
      <c r="G64" s="27">
        <f>F64*(1+'Model Inputs'!$B$9)</f>
        <v>1.08243216</v>
      </c>
      <c r="H64" s="27">
        <f>G64*(1+'Model Inputs'!$B$9)</f>
        <v>1.1040808032</v>
      </c>
      <c r="I64" s="27">
        <f>H64*(1+'Model Inputs'!$B$9)</f>
        <v>1.1261624192640001</v>
      </c>
      <c r="J64" s="27">
        <f>I64*(1+'Model Inputs'!$B$9)</f>
        <v>1.14868566764928</v>
      </c>
      <c r="K64" s="27">
        <f>J64*(1+'Model Inputs'!$B$9)</f>
        <v>1.1716593810022657</v>
      </c>
      <c r="L64" s="27">
        <f>K64*(1+'Model Inputs'!$B$9)</f>
        <v>1.1950925686223111</v>
      </c>
      <c r="M64" s="27">
        <f>L64*(1+'Model Inputs'!$B$9)</f>
        <v>1.2189944199947573</v>
      </c>
      <c r="N64" s="27">
        <f>M64*(1+'Model Inputs'!$B$9)</f>
        <v>1.2433743083946525</v>
      </c>
      <c r="O64" s="27">
        <f>N64*(1+'Model Inputs'!$B$9)</f>
        <v>1.2682417945625455</v>
      </c>
      <c r="P64" s="27">
        <f>O64*(1+'Model Inputs'!$B$9)</f>
        <v>1.2936066304537963</v>
      </c>
      <c r="Q64" s="27">
        <f>P64*(1+'Model Inputs'!$B$9)</f>
        <v>1.3194787630628724</v>
      </c>
      <c r="R64" s="27">
        <f>Q64*(1+'Model Inputs'!$B$9)</f>
        <v>1.3458683383241299</v>
      </c>
      <c r="S64" s="27">
        <f>R64*(1+'Model Inputs'!$B$9)</f>
        <v>1.3727857050906125</v>
      </c>
      <c r="T64" s="27">
        <f>S64*(1+'Model Inputs'!$B$9)</f>
        <v>1.4002414191924248</v>
      </c>
      <c r="U64" s="27">
        <f>T64*(1+'Model Inputs'!$B$9)</f>
        <v>1.4282462475762734</v>
      </c>
      <c r="V64" s="27">
        <f>U64*(1+'Model Inputs'!$B$9)</f>
        <v>1.4568111725277988</v>
      </c>
      <c r="W64" s="27">
        <f>V64*(1+'Model Inputs'!$B$9)</f>
        <v>1.4859473959783549</v>
      </c>
      <c r="X64" s="27">
        <f>W64*(1+'Model Inputs'!$B$9)</f>
        <v>1.5156663438979221</v>
      </c>
      <c r="Y64" s="27">
        <f>X64*(1+'Model Inputs'!$B$9)</f>
        <v>1.5459796707758806</v>
      </c>
      <c r="Z64" s="27">
        <f>Y64*(1+'Model Inputs'!$B$9)</f>
        <v>1.5768992641913981</v>
      </c>
      <c r="AA64" s="27">
        <f>Z64*(1+'Model Inputs'!$B$9)</f>
        <v>1.6084372494752261</v>
      </c>
      <c r="AB64" s="27">
        <f>AA64*(1+'Model Inputs'!$B$9)</f>
        <v>1.6406059944647307</v>
      </c>
      <c r="AC64" s="27">
        <f>AB64*(1+'Model Inputs'!$B$9)</f>
        <v>1.6734181143540252</v>
      </c>
      <c r="AD64" s="27">
        <f>AC64*(1+'Model Inputs'!$B$9)</f>
        <v>1.7068864766411058</v>
      </c>
      <c r="AE64" s="27">
        <f>AD64*(1+'Model Inputs'!$B$9)</f>
        <v>1.7410242061739281</v>
      </c>
      <c r="AF64" s="27">
        <f>AE64*(1+'Model Inputs'!$B$9)</f>
        <v>1.7758446902974065</v>
      </c>
      <c r="AG64" s="27">
        <f>AF64*(1+'Model Inputs'!$B$9)</f>
        <v>1.8113615841033548</v>
      </c>
      <c r="AH64" s="27">
        <f>AG64*(1+'Model Inputs'!$B$9)</f>
        <v>1.8475888157854219</v>
      </c>
      <c r="AI64" s="27">
        <f>AH64*(1+'Model Inputs'!$B$9)</f>
        <v>1.8845405921011305</v>
      </c>
      <c r="AJ64" s="27">
        <f>AI64*(1+'Model Inputs'!$B$9)</f>
        <v>1.9222314039431532</v>
      </c>
      <c r="AK64" s="27">
        <f>AJ64*(1+'Model Inputs'!$B$9)</f>
        <v>1.9606760320220162</v>
      </c>
      <c r="AL64" s="27">
        <f>AK64*(1+'Model Inputs'!$B$9)</f>
        <v>1.9998895526624565</v>
      </c>
      <c r="AM64" s="27">
        <f>AL64*(1+'Model Inputs'!$B$9)</f>
        <v>2.0398873437157055</v>
      </c>
      <c r="AN64" s="27">
        <f>AM64*(1+'Model Inputs'!$B$9)</f>
        <v>2.0806850905900198</v>
      </c>
      <c r="AO64" s="27">
        <f>AN64*(1+'Model Inputs'!$B$9)</f>
        <v>2.1222987924018204</v>
      </c>
      <c r="AP64" s="27">
        <f>AO64*(1+'Model Inputs'!$B$9)</f>
        <v>2.1647447682498568</v>
      </c>
      <c r="AQ64" s="38">
        <f>AP64*(1+'Model Inputs'!$B$9)</f>
        <v>2.208039663614854</v>
      </c>
      <c r="AR64" s="38">
        <f>AQ64*(1+'Model Inputs'!$B$9)</f>
        <v>2.252200456887151</v>
      </c>
      <c r="AS64" s="38">
        <f>AR64*(1+'Model Inputs'!$B$9)</f>
        <v>2.2972444660248938</v>
      </c>
      <c r="AT64" s="38">
        <f>AS64*(1+'Model Inputs'!$B$9)</f>
        <v>2.343189355345392</v>
      </c>
      <c r="AU64" s="38">
        <f>AT64*(1+'Model Inputs'!$B$9)</f>
        <v>2.3900531424522997</v>
      </c>
      <c r="AV64" s="38">
        <f>AU64*(1+'Model Inputs'!$B$9)</f>
        <v>2.4378542053013459</v>
      </c>
      <c r="AW64" s="38">
        <f>AV64*(1+'Model Inputs'!$B$9)</f>
        <v>2.4866112894073726</v>
      </c>
      <c r="AX64" s="38">
        <f>AW64*(1+'Model Inputs'!$B$9)</f>
        <v>2.53634351519552</v>
      </c>
      <c r="AY64" s="38">
        <f>AX64*(1+'Model Inputs'!$B$9)</f>
        <v>2.5870703854994304</v>
      </c>
      <c r="AZ64" s="38">
        <f>AY64*(1+'Model Inputs'!$B$9)</f>
        <v>2.6388117932094191</v>
      </c>
      <c r="BA64" s="38">
        <f>AZ64*(1+'Model Inputs'!$B$9)</f>
        <v>2.6915880290736074</v>
      </c>
      <c r="BB64" s="38">
        <f>BA64*(1+'Model Inputs'!$B$9)</f>
        <v>2.7454197896550796</v>
      </c>
      <c r="BC64" s="38">
        <f>BB64*(1+'Model Inputs'!$B$9)</f>
        <v>2.8003281854481812</v>
      </c>
      <c r="BD64" s="38">
        <f>BC64*(1+'Model Inputs'!$B$9)</f>
        <v>2.8563347491571447</v>
      </c>
      <c r="BE64" s="38">
        <f>BD64*(1+'Model Inputs'!$B$9)</f>
        <v>2.9134614441402875</v>
      </c>
      <c r="BF64" s="38">
        <f>BE64*(1+'Model Inputs'!$B$9)</f>
        <v>2.9717306730230932</v>
      </c>
      <c r="BG64" s="38">
        <f>BF64*(1+'Model Inputs'!$B$9)</f>
        <v>3.0311652864835552</v>
      </c>
      <c r="BH64" s="38">
        <f>BG64*(1+'Model Inputs'!$B$9)</f>
        <v>3.0917885922132262</v>
      </c>
      <c r="BI64" s="38">
        <f>BH64*(1+'Model Inputs'!$B$9)</f>
        <v>3.1536243640574906</v>
      </c>
      <c r="BJ64" s="38">
        <f>BI64*(1+'Model Inputs'!$B$9)</f>
        <v>3.2166968513386403</v>
      </c>
      <c r="BK64" s="38">
        <f>BJ64*(1+'Model Inputs'!$B$9)</f>
        <v>3.2810307883654133</v>
      </c>
      <c r="BL64" s="38">
        <f>BK64*(1+'Model Inputs'!$B$9)</f>
        <v>3.3466514041327216</v>
      </c>
      <c r="BM64" s="38">
        <f>BL64*(1+'Model Inputs'!$B$9)</f>
        <v>3.4135844322153761</v>
      </c>
      <c r="BN64" s="38">
        <f>BM64*(1+'Model Inputs'!$B$9)</f>
        <v>3.4818561208596837</v>
      </c>
      <c r="BO64" s="38">
        <f>BN64*(1+'Model Inputs'!$B$9)</f>
        <v>3.5514932432768775</v>
      </c>
    </row>
    <row r="65" spans="1:67" ht="15" customHeight="1" x14ac:dyDescent="0.2">
      <c r="A65" s="14" t="s">
        <v>222</v>
      </c>
      <c r="B65" s="65">
        <f>SUM(C65:BO65)</f>
        <v>451076.99850991566</v>
      </c>
      <c r="C65" s="27">
        <f>SUMPRODUCT(C27:C34,'Model Inputs'!$E$73:$E$80)*C64</f>
        <v>8454.6223088490915</v>
      </c>
      <c r="D65" s="27">
        <f>SUMPRODUCT(D27:D34,'Model Inputs'!$E$73:$E$80)*D64</f>
        <v>8623.7147550260743</v>
      </c>
      <c r="E65" s="27">
        <f>SUMPRODUCT(E27:E34,'Model Inputs'!$E$73:$E$80)*E64</f>
        <v>8796.1890501265952</v>
      </c>
      <c r="F65" s="27">
        <f>SUMPRODUCT(F27:F34,'Model Inputs'!$E$73:$E$80)*F64</f>
        <v>8972.1128311291268</v>
      </c>
      <c r="G65" s="27">
        <f>SUMPRODUCT(G27:G34,'Model Inputs'!$E$73:$E$80)*G64</f>
        <v>9151.5550877517089</v>
      </c>
      <c r="H65" s="27">
        <f>SUMPRODUCT(H27:H34,'Model Inputs'!$E$73:$E$80)*H64</f>
        <v>9334.5861895067428</v>
      </c>
      <c r="I65" s="27">
        <f>SUMPRODUCT(I27:I34,'Model Inputs'!$E$73:$E$80)*I64</f>
        <v>9521.277913296879</v>
      </c>
      <c r="J65" s="27">
        <f>SUMPRODUCT(J27:J34,'Model Inputs'!$E$73:$E$80)*J64</f>
        <v>9711.703471562816</v>
      </c>
      <c r="K65" s="27">
        <f>SUMPRODUCT(K27:K34,'Model Inputs'!$E$73:$E$80)*K64</f>
        <v>9905.9375409940731</v>
      </c>
      <c r="L65" s="27">
        <f>SUMPRODUCT(L27:L34,'Model Inputs'!$E$73:$E$80)*L64</f>
        <v>10104.056291813955</v>
      </c>
      <c r="M65" s="27">
        <f>SUMPRODUCT(M27:M34,'Model Inputs'!$E$73:$E$80)*M64</f>
        <v>10306.137417650234</v>
      </c>
      <c r="N65" s="27">
        <f>SUMPRODUCT(N27:N34,'Model Inputs'!$E$73:$E$80)*N64</f>
        <v>10512.26016600324</v>
      </c>
      <c r="O65" s="27">
        <f>SUMPRODUCT(O27:O34,'Model Inputs'!$E$73:$E$80)*O64</f>
        <v>10722.505369323304</v>
      </c>
      <c r="P65" s="27">
        <f>SUMPRODUCT(P27:P34,'Model Inputs'!$E$73:$E$80)*P64</f>
        <v>10936.955476709769</v>
      </c>
      <c r="Q65" s="27">
        <f>SUMPRODUCT(Q27:Q34,'Model Inputs'!$E$73:$E$80)*Q64</f>
        <v>11155.694586243966</v>
      </c>
      <c r="R65" s="27">
        <f>SUMPRODUCT(R27:R34,'Model Inputs'!$E$73:$E$80)*R64</f>
        <v>11378.808477968845</v>
      </c>
      <c r="S65" s="27">
        <f>SUMPRODUCT(S27:S34,'Model Inputs'!$E$73:$E$80)*S64</f>
        <v>11606.384647528223</v>
      </c>
      <c r="T65" s="27">
        <f>SUMPRODUCT(T27:T34,'Model Inputs'!$E$73:$E$80)*T64</f>
        <v>11838.512340478788</v>
      </c>
      <c r="U65" s="27">
        <f>SUMPRODUCT(U27:U34,'Model Inputs'!$E$73:$E$80)*U64</f>
        <v>12075.282587288364</v>
      </c>
      <c r="V65" s="27">
        <f>SUMPRODUCT(V27:V34,'Model Inputs'!$E$73:$E$80)*V64</f>
        <v>12316.788239034131</v>
      </c>
      <c r="W65" s="27">
        <f>SUMPRODUCT(W27:W34,'Model Inputs'!$E$73:$E$80)*W64</f>
        <v>12563.124003814813</v>
      </c>
      <c r="X65" s="27">
        <f>SUMPRODUCT(X27:X34,'Model Inputs'!$E$73:$E$80)*X64</f>
        <v>12814.38648389111</v>
      </c>
      <c r="Y65" s="27">
        <f>SUMPRODUCT(Y27:Y34,'Model Inputs'!$E$73:$E$80)*Y64</f>
        <v>13070.674213568935</v>
      </c>
      <c r="Z65" s="27">
        <f>SUMPRODUCT(Z27:Z34,'Model Inputs'!$E$73:$E$80)*Z64</f>
        <v>13332.087697840312</v>
      </c>
      <c r="AA65" s="27">
        <f>SUMPRODUCT(AA27:AA34,'Model Inputs'!$E$73:$E$80)*AA64</f>
        <v>13598.729451797119</v>
      </c>
      <c r="AB65" s="27">
        <f>SUMPRODUCT(AB27:AB34,'Model Inputs'!$E$73:$E$80)*AB64</f>
        <v>13870.704040833061</v>
      </c>
      <c r="AC65" s="27">
        <f>SUMPRODUCT(AC27:AC34,'Model Inputs'!$E$73:$E$80)*AC64</f>
        <v>14148.118121649723</v>
      </c>
      <c r="AD65" s="27">
        <f>SUMPRODUCT(AD27:AD34,'Model Inputs'!$E$73:$E$80)*AD64</f>
        <v>14353.862780493269</v>
      </c>
      <c r="AE65" s="27">
        <f>SUMPRODUCT(AE27:AE34,'Model Inputs'!$E$73:$E$80)*AE64</f>
        <v>11098.456997800766</v>
      </c>
      <c r="AF65" s="27">
        <f>SUMPRODUCT(AF27:AF34,'Model Inputs'!$E$73:$E$80)*AF64</f>
        <v>11320.42613775678</v>
      </c>
      <c r="AG65" s="27">
        <f>SUMPRODUCT(AG27:AG34,'Model Inputs'!$E$73:$E$80)*AG64</f>
        <v>11546.834660511917</v>
      </c>
      <c r="AH65" s="27">
        <f>SUMPRODUCT(AH27:AH34,'Model Inputs'!$E$73:$E$80)*AH64</f>
        <v>11777.771353722155</v>
      </c>
      <c r="AI65" s="27">
        <f>SUMPRODUCT(AI27:AI34,'Model Inputs'!$E$73:$E$80)*AI64</f>
        <v>12013.326780796599</v>
      </c>
      <c r="AJ65" s="27">
        <f>SUMPRODUCT(AJ27:AJ34,'Model Inputs'!$E$73:$E$80)*AJ64</f>
        <v>12253.593316412531</v>
      </c>
      <c r="AK65" s="27">
        <f>SUMPRODUCT(AK27:AK34,'Model Inputs'!$E$73:$E$80)*AK64</f>
        <v>12498.665182740782</v>
      </c>
      <c r="AL65" s="27">
        <f>SUMPRODUCT(AL27:AL34,'Model Inputs'!$E$73:$E$80)*AL64</f>
        <v>12748.638486395597</v>
      </c>
      <c r="AM65" s="27">
        <f>SUMPRODUCT(AM27:AM34,'Model Inputs'!$E$73:$E$80)*AM64</f>
        <v>10047.516845323595</v>
      </c>
      <c r="AN65" s="27">
        <f>SUMPRODUCT(AN27:AN34,'Model Inputs'!$E$73:$E$80)*AN64</f>
        <v>2438.8756640903721</v>
      </c>
      <c r="AO65" s="27">
        <f>SUMPRODUCT(AO27:AO34,'Model Inputs'!$E$73:$E$80)*AO64</f>
        <v>2487.6531773721795</v>
      </c>
      <c r="AP65" s="27">
        <f>SUMPRODUCT(AP27:AP34,'Model Inputs'!$E$73:$E$80)*AP64</f>
        <v>2537.4062409196231</v>
      </c>
      <c r="AQ65" s="27">
        <f>(AQ27*'Model Inputs'!$E$73+AQ28*'Model Inputs'!$E$74+AQ29*'Model Inputs'!$E$75+AQ30*'Model Inputs'!$E$76+AQ31*'Model Inputs'!$E$77+AQ32*'Model Inputs'!$E$78+AQ33*'Model Inputs'!$E$79+AQ34*'Model Inputs'!$E$80)*AQ64</f>
        <v>2588.1543657380157</v>
      </c>
      <c r="AR65" s="27">
        <f>(AR27*'Model Inputs'!$E$73+AR28*'Model Inputs'!$E$74+AR29*'Model Inputs'!$E$75+AR30*'Model Inputs'!$E$76+AR31*'Model Inputs'!$E$77+AR32*'Model Inputs'!$E$78+AR33*'Model Inputs'!$E$79+AR34*'Model Inputs'!$E$80)*AR64</f>
        <v>2639.9174530527757</v>
      </c>
      <c r="AS65" s="27">
        <f>(AS27*'Model Inputs'!$E$73+AS28*'Model Inputs'!$E$74+AS29*'Model Inputs'!$E$75+AS30*'Model Inputs'!$E$76+AS31*'Model Inputs'!$E$77+AS32*'Model Inputs'!$E$78+AS33*'Model Inputs'!$E$79+AS34*'Model Inputs'!$E$80)*AS64</f>
        <v>2692.7158021138312</v>
      </c>
      <c r="AT65" s="27">
        <f>(AT27*'Model Inputs'!$E$73+AT28*'Model Inputs'!$E$74+AT29*'Model Inputs'!$E$75+AT30*'Model Inputs'!$E$76+AT31*'Model Inputs'!$E$77+AT32*'Model Inputs'!$E$78+AT33*'Model Inputs'!$E$79+AT34*'Model Inputs'!$E$80)*AT64</f>
        <v>2746.570118156108</v>
      </c>
      <c r="AU65" s="27">
        <f>(AU27*'Model Inputs'!$E$73+AU28*'Model Inputs'!$E$74+AU29*'Model Inputs'!$E$75+AU30*'Model Inputs'!$E$76+AU31*'Model Inputs'!$E$77+AU32*'Model Inputs'!$E$78+AU33*'Model Inputs'!$E$79+AU34*'Model Inputs'!$E$80)*AU64</f>
        <v>2801.5015205192303</v>
      </c>
      <c r="AV65" s="27">
        <f>(AV27*'Model Inputs'!$E$73+AV28*'Model Inputs'!$E$74+AV29*'Model Inputs'!$E$75+AV30*'Model Inputs'!$E$76+AV31*'Model Inputs'!$E$77+AV32*'Model Inputs'!$E$78+AV33*'Model Inputs'!$E$79+AV34*'Model Inputs'!$E$80)*AV64</f>
        <v>2857.5315509296152</v>
      </c>
      <c r="AW65" s="27">
        <f>(AW27*'Model Inputs'!$E$73+AW28*'Model Inputs'!$E$74+AW29*'Model Inputs'!$E$75+AW30*'Model Inputs'!$E$76+AW31*'Model Inputs'!$E$77+AW32*'Model Inputs'!$E$78+AW33*'Model Inputs'!$E$79+AW34*'Model Inputs'!$E$80)*AW64</f>
        <v>2914.682181948207</v>
      </c>
      <c r="AX65" s="27">
        <f>(AX27*'Model Inputs'!$E$73+AX28*'Model Inputs'!$E$74+AX29*'Model Inputs'!$E$75+AX30*'Model Inputs'!$E$76+AX31*'Model Inputs'!$E$77+AX32*'Model Inputs'!$E$78+AX33*'Model Inputs'!$E$79+AX34*'Model Inputs'!$E$80)*AX64</f>
        <v>2972.9758255871711</v>
      </c>
      <c r="AY65" s="27">
        <f>(AY27*'Model Inputs'!$E$73+AY28*'Model Inputs'!$E$74+AY29*'Model Inputs'!$E$75+AY30*'Model Inputs'!$E$76+AY31*'Model Inputs'!$E$77+AY32*'Model Inputs'!$E$78+AY33*'Model Inputs'!$E$79+AY34*'Model Inputs'!$E$80)*AY64</f>
        <v>2917.0133058535462</v>
      </c>
      <c r="AZ65" s="27">
        <f>(AZ27*'Model Inputs'!$E$73+AZ28*'Model Inputs'!$E$74+AZ29*'Model Inputs'!$E$75+AZ30*'Model Inputs'!$E$76+AZ31*'Model Inputs'!$E$77+AZ32*'Model Inputs'!$E$78+AZ33*'Model Inputs'!$E$79+AZ34*'Model Inputs'!$E$80)*AZ64</f>
        <v>0</v>
      </c>
      <c r="BA65" s="27">
        <f>(BA27*'Model Inputs'!$E$73+BA28*'Model Inputs'!$E$74+BA29*'Model Inputs'!$E$75+BA30*'Model Inputs'!$E$76+BA31*'Model Inputs'!$E$77+BA32*'Model Inputs'!$E$78+BA33*'Model Inputs'!$E$79+BA34*'Model Inputs'!$E$80)*BA64</f>
        <v>0</v>
      </c>
      <c r="BB65" s="27">
        <f>(BB27*'Model Inputs'!$E$73+BB28*'Model Inputs'!$E$74+BB29*'Model Inputs'!$E$75+BB30*'Model Inputs'!$E$76+BB31*'Model Inputs'!$E$77+BB32*'Model Inputs'!$E$78+BB33*'Model Inputs'!$E$79+BB34*'Model Inputs'!$E$80)*BB64</f>
        <v>0</v>
      </c>
      <c r="BC65" s="27">
        <f>(BC27*'Model Inputs'!$E$73+BC28*'Model Inputs'!$E$74+BC29*'Model Inputs'!$E$75+BC30*'Model Inputs'!$E$76+BC31*'Model Inputs'!$E$77+BC32*'Model Inputs'!$E$78+BC33*'Model Inputs'!$E$79+BC34*'Model Inputs'!$E$80)*BC64</f>
        <v>0</v>
      </c>
      <c r="BD65" s="27">
        <f>(BD27*'Model Inputs'!$E$73+BD28*'Model Inputs'!$E$74+BD29*'Model Inputs'!$E$75+BD30*'Model Inputs'!$E$76+BD31*'Model Inputs'!$E$77+BD32*'Model Inputs'!$E$78+BD33*'Model Inputs'!$E$79+BD34*'Model Inputs'!$E$80)*BD64</f>
        <v>0</v>
      </c>
      <c r="BE65" s="27">
        <f>(BE27*'Model Inputs'!$E$73+BE28*'Model Inputs'!$E$74+BE29*'Model Inputs'!$E$75+BE30*'Model Inputs'!$E$76+BE31*'Model Inputs'!$E$77+BE32*'Model Inputs'!$E$78+BE33*'Model Inputs'!$E$79+BE34*'Model Inputs'!$E$80)*BE64</f>
        <v>0</v>
      </c>
      <c r="BF65" s="27">
        <f>(BF27*'Model Inputs'!$E$73+BF28*'Model Inputs'!$E$74+BF29*'Model Inputs'!$E$75+BF30*'Model Inputs'!$E$76+BF31*'Model Inputs'!$E$77+BF32*'Model Inputs'!$E$78+BF33*'Model Inputs'!$E$79+BF34*'Model Inputs'!$E$80)*BF64</f>
        <v>0</v>
      </c>
      <c r="BG65" s="27">
        <f>(BG27*'Model Inputs'!$E$73+BG28*'Model Inputs'!$E$74+BG29*'Model Inputs'!$E$75+BG30*'Model Inputs'!$E$76+BG31*'Model Inputs'!$E$77+BG32*'Model Inputs'!$E$78+BG33*'Model Inputs'!$E$79+BG34*'Model Inputs'!$E$80)*BG64</f>
        <v>0</v>
      </c>
      <c r="BH65" s="27">
        <f>(BH27*'Model Inputs'!$E$73+BH28*'Model Inputs'!$E$74+BH29*'Model Inputs'!$E$75+BH30*'Model Inputs'!$E$76+BH31*'Model Inputs'!$E$77+BH32*'Model Inputs'!$E$78+BH33*'Model Inputs'!$E$79+BH34*'Model Inputs'!$E$80)*BH64</f>
        <v>0</v>
      </c>
      <c r="BI65" s="27">
        <f>(BI27*'Model Inputs'!$E$73+BI28*'Model Inputs'!$E$74+BI29*'Model Inputs'!$E$75+BI30*'Model Inputs'!$E$76+BI31*'Model Inputs'!$E$77+BI32*'Model Inputs'!$E$78+BI33*'Model Inputs'!$E$79+BI34*'Model Inputs'!$E$80)*BI64</f>
        <v>0</v>
      </c>
      <c r="BJ65" s="27">
        <f>(BJ27*'Model Inputs'!$E$73+BJ28*'Model Inputs'!$E$74+BJ29*'Model Inputs'!$E$75+BJ30*'Model Inputs'!$E$76+BJ31*'Model Inputs'!$E$77+BJ32*'Model Inputs'!$E$78+BJ33*'Model Inputs'!$E$79+BJ34*'Model Inputs'!$E$80)*BJ64</f>
        <v>0</v>
      </c>
      <c r="BK65" s="27">
        <f>(BK27*'Model Inputs'!$E$73+BK28*'Model Inputs'!$E$74+BK29*'Model Inputs'!$E$75+BK30*'Model Inputs'!$E$76+BK31*'Model Inputs'!$E$77+BK32*'Model Inputs'!$E$78+BK33*'Model Inputs'!$E$79+BK34*'Model Inputs'!$E$80)*BK64</f>
        <v>0</v>
      </c>
      <c r="BL65" s="27">
        <f>(BL27*'Model Inputs'!$E$73+BL28*'Model Inputs'!$E$74+BL29*'Model Inputs'!$E$75+BL30*'Model Inputs'!$E$76+BL31*'Model Inputs'!$E$77+BL32*'Model Inputs'!$E$78+BL33*'Model Inputs'!$E$79+BL34*'Model Inputs'!$E$80)*BL64</f>
        <v>0</v>
      </c>
      <c r="BM65" s="27">
        <f>(BM27*'Model Inputs'!$E$73+BM28*'Model Inputs'!$E$74+BM29*'Model Inputs'!$E$75+BM30*'Model Inputs'!$E$76+BM31*'Model Inputs'!$E$77+BM32*'Model Inputs'!$E$78+BM33*'Model Inputs'!$E$79+BM34*'Model Inputs'!$E$80)*BM64</f>
        <v>0</v>
      </c>
      <c r="BN65" s="27">
        <f>(BN27*'Model Inputs'!$E$73+BN28*'Model Inputs'!$E$74+BN29*'Model Inputs'!$E$75+BN30*'Model Inputs'!$E$76+BN31*'Model Inputs'!$E$77+BN32*'Model Inputs'!$E$78+BN33*'Model Inputs'!$E$79+BN34*'Model Inputs'!$E$80)*BN64</f>
        <v>0</v>
      </c>
      <c r="BO65" s="27">
        <f>(BO27*'Model Inputs'!$E$73+BO28*'Model Inputs'!$E$74+BO29*'Model Inputs'!$E$75+BO30*'Model Inputs'!$E$76+BO31*'Model Inputs'!$E$77+BO32*'Model Inputs'!$E$78+BO33*'Model Inputs'!$E$79+BO34*'Model Inputs'!$E$80)*BO64</f>
        <v>0</v>
      </c>
    </row>
    <row r="66" spans="1:67" ht="15" customHeight="1" x14ac:dyDescent="0.2">
      <c r="A66" s="14" t="s">
        <v>223</v>
      </c>
      <c r="B66" s="71">
        <f>IF('Model Inputs'!B13=1,IF('Sensitivities 2P'!$B$13=1,'Sensitivities 2P'!$B$15,'Model Inputs'!B162/B65),1)</f>
        <v>1</v>
      </c>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2"/>
      <c r="AG66" s="72"/>
      <c r="AH66" s="72"/>
      <c r="AI66" s="72"/>
      <c r="AJ66" s="72"/>
      <c r="AK66" s="72"/>
      <c r="AL66" s="72"/>
      <c r="AM66" s="72"/>
      <c r="AN66" s="72"/>
      <c r="AO66" s="72"/>
      <c r="AP66" s="72"/>
    </row>
    <row r="67" spans="1:67" ht="15" customHeight="1" x14ac:dyDescent="0.2">
      <c r="A67" s="14" t="s">
        <v>209</v>
      </c>
      <c r="B67" s="66">
        <f t="shared" ref="B67:B75" si="33">SUM(C67:BO67)</f>
        <v>10501.529927808262</v>
      </c>
      <c r="C67" s="70">
        <f>C27*C64*'Model Inputs'!$B$289*'Sensitivities 2P'!$B$10</f>
        <v>283.7171248446279</v>
      </c>
      <c r="D67" s="27">
        <f>D27*D64*'Model Inputs'!$B$289*'Sensitivities 2P'!$B$10</f>
        <v>289.39146734152047</v>
      </c>
      <c r="E67" s="27">
        <f>E27*E64*'Model Inputs'!$B$289*'Sensitivities 2P'!$B$10</f>
        <v>295.17929668835092</v>
      </c>
      <c r="F67" s="27">
        <f>F27*F64*'Model Inputs'!$B$289*'Sensitivities 2P'!$B$10</f>
        <v>301.08288262211789</v>
      </c>
      <c r="G67" s="27">
        <f>G27*G64*'Model Inputs'!$B$289*'Sensitivities 2P'!$B$10</f>
        <v>307.10454027456024</v>
      </c>
      <c r="H67" s="27">
        <f>H27*H64*'Model Inputs'!$B$289*'Sensitivities 2P'!$B$10</f>
        <v>313.24663108005149</v>
      </c>
      <c r="I67" s="27">
        <f>I27*I64*'Model Inputs'!$B$289*'Sensitivities 2P'!$B$10</f>
        <v>319.51156370165251</v>
      </c>
      <c r="J67" s="27">
        <f>J27*J64*'Model Inputs'!$B$289*'Sensitivities 2P'!$B$10</f>
        <v>325.90179497568556</v>
      </c>
      <c r="K67" s="27">
        <f>K27*K64*'Model Inputs'!$B$289*'Sensitivities 2P'!$B$10</f>
        <v>332.4198308751993</v>
      </c>
      <c r="L67" s="27">
        <f>L27*L64*'Model Inputs'!$B$289*'Sensitivities 2P'!$B$10</f>
        <v>339.06822749270327</v>
      </c>
      <c r="M67" s="27">
        <f>M27*M64*'Model Inputs'!$B$289*'Sensitivities 2P'!$B$10</f>
        <v>345.84959204255739</v>
      </c>
      <c r="N67" s="27">
        <f>N27*N64*'Model Inputs'!$B$289*'Sensitivities 2P'!$B$10</f>
        <v>352.76658388340854</v>
      </c>
      <c r="O67" s="27">
        <f>O27*O64*'Model Inputs'!$B$289*'Sensitivities 2P'!$B$10</f>
        <v>359.82191556107671</v>
      </c>
      <c r="P67" s="27">
        <f>P27*P64*'Model Inputs'!$B$289*'Sensitivities 2P'!$B$10</f>
        <v>367.01835387229818</v>
      </c>
      <c r="Q67" s="27">
        <f>Q27*Q64*'Model Inputs'!$B$289*'Sensitivities 2P'!$B$10</f>
        <v>374.35872094974422</v>
      </c>
      <c r="R67" s="27">
        <f>R27*R64*'Model Inputs'!$B$289*'Sensitivities 2P'!$B$10</f>
        <v>381.84589536873909</v>
      </c>
      <c r="S67" s="27">
        <f>S27*S64*'Model Inputs'!$B$289*'Sensitivities 2P'!$B$10</f>
        <v>389.48281327611386</v>
      </c>
      <c r="T67" s="27">
        <f>T27*T64*'Model Inputs'!$B$289*'Sensitivities 2P'!$B$10</f>
        <v>397.27246954163616</v>
      </c>
      <c r="U67" s="27">
        <f>U27*U64*'Model Inputs'!$B$289*'Sensitivities 2P'!$B$10</f>
        <v>405.21791893246893</v>
      </c>
      <c r="V67" s="27">
        <f>V27*V64*'Model Inputs'!$B$289*'Sensitivities 2P'!$B$10</f>
        <v>413.32227731111828</v>
      </c>
      <c r="W67" s="27">
        <f>W27*W64*'Model Inputs'!$B$289*'Sensitivities 2P'!$B$10</f>
        <v>421.58872285734066</v>
      </c>
      <c r="X67" s="27">
        <f>X27*X64*'Model Inputs'!$B$289*'Sensitivities 2P'!$B$10</f>
        <v>430.0204973144875</v>
      </c>
      <c r="Y67" s="27">
        <f>Y27*Y64*'Model Inputs'!$B$289*'Sensitivities 2P'!$B$10</f>
        <v>438.62090726077736</v>
      </c>
      <c r="Z67" s="27">
        <f>Z27*Z64*'Model Inputs'!$B$289*'Sensitivities 2P'!$B$10</f>
        <v>447.39332540599287</v>
      </c>
      <c r="AA67" s="27">
        <f>AA27*AA64*'Model Inputs'!$B$289*'Sensitivities 2P'!$B$10</f>
        <v>456.3411919141127</v>
      </c>
      <c r="AB67" s="27">
        <f>AB27*AB64*'Model Inputs'!$B$289*'Sensitivities 2P'!$B$10</f>
        <v>465.46801575239493</v>
      </c>
      <c r="AC67" s="27">
        <f>AC27*AC64*'Model Inputs'!$B$289*'Sensitivities 2P'!$B$10</f>
        <v>474.77737606744279</v>
      </c>
      <c r="AD67" s="27">
        <f>AD27*AD64*'Model Inputs'!$B$289*'Sensitivities 2P'!$B$10</f>
        <v>473.73999060008208</v>
      </c>
      <c r="AE67" s="27">
        <f>AE27*AE64*'Model Inputs'!$B$289*'Sensitivities 2P'!$B$10</f>
        <v>0</v>
      </c>
      <c r="AF67" s="27">
        <f>AF27*AF64*'Model Inputs'!$B$289*'Sensitivities 2P'!$B$10</f>
        <v>0</v>
      </c>
      <c r="AG67" s="27">
        <f>AG27*AG64*'Model Inputs'!$B$289*'Sensitivities 2P'!$B$10</f>
        <v>0</v>
      </c>
      <c r="AH67" s="27">
        <f>AH27*AH64*'Model Inputs'!$B$289*'Sensitivities 2P'!$B$10</f>
        <v>0</v>
      </c>
      <c r="AI67" s="27">
        <f>AI27*AI64*'Model Inputs'!$B$289*'Sensitivities 2P'!$B$10</f>
        <v>0</v>
      </c>
      <c r="AJ67" s="27">
        <f>AJ27*AJ64*'Model Inputs'!$B$289*'Sensitivities 2P'!$B$10</f>
        <v>0</v>
      </c>
      <c r="AK67" s="27">
        <f>AK27*AK64*'Model Inputs'!$B$289*'Sensitivities 2P'!$B$10</f>
        <v>0</v>
      </c>
      <c r="AL67" s="27">
        <f>AL27*AL64*'Model Inputs'!$B$289*'Sensitivities 2P'!$B$10</f>
        <v>0</v>
      </c>
      <c r="AM67" s="27">
        <f>AM27*AM64*'Model Inputs'!$B$289*'Sensitivities 2P'!$B$10</f>
        <v>0</v>
      </c>
      <c r="AN67" s="27">
        <f>AN27*AN64*'Model Inputs'!$B$289*'Sensitivities 2P'!$B$10</f>
        <v>0</v>
      </c>
      <c r="AO67" s="27">
        <f>AO27*AO64*'Model Inputs'!$B$289*'Sensitivities 2P'!$B$10</f>
        <v>0</v>
      </c>
      <c r="AP67" s="27">
        <f>AP27*AP64*'Model Inputs'!$B$289*'Sensitivities 2P'!$B$10</f>
        <v>0</v>
      </c>
      <c r="AQ67" s="27">
        <f>AQ27*AQ64*'Model Inputs'!$B$289*'Sensitivities 2P'!$B$10</f>
        <v>0</v>
      </c>
      <c r="AR67" s="27">
        <f>AR27*AR64*'Model Inputs'!$B$289*'Sensitivities 2P'!$B$10</f>
        <v>0</v>
      </c>
      <c r="AS67" s="27">
        <f>AS27*AS64*'Model Inputs'!$B$289*'Sensitivities 2P'!$B$10</f>
        <v>0</v>
      </c>
      <c r="AT67" s="27">
        <f>AT27*AT64*'Model Inputs'!$B$289*'Sensitivities 2P'!$B$10</f>
        <v>0</v>
      </c>
      <c r="AU67" s="27">
        <f>AU27*AU64*'Model Inputs'!$B$289*'Sensitivities 2P'!$B$10</f>
        <v>0</v>
      </c>
      <c r="AV67" s="27">
        <f>AV27*AV64*'Model Inputs'!$B$289*'Sensitivities 2P'!$B$10</f>
        <v>0</v>
      </c>
      <c r="AW67" s="27">
        <f>AW27*AW64*'Model Inputs'!$B$289*'Sensitivities 2P'!$B$10</f>
        <v>0</v>
      </c>
      <c r="AX67" s="27">
        <f>AX27*AX64*'Model Inputs'!$B$289*'Sensitivities 2P'!$B$10</f>
        <v>0</v>
      </c>
      <c r="AY67" s="27">
        <f>AY27*AY64*'Model Inputs'!$B$289*'Sensitivities 2P'!$B$10</f>
        <v>0</v>
      </c>
      <c r="AZ67" s="27">
        <f>AZ27*AZ64*'Model Inputs'!$B$289*'Sensitivities 2P'!$B$10</f>
        <v>0</v>
      </c>
      <c r="BA67" s="27">
        <f>BA27*BA64*'Model Inputs'!$B$289*'Sensitivities 2P'!$B$10</f>
        <v>0</v>
      </c>
      <c r="BB67" s="27">
        <f>BB27*BB64*'Model Inputs'!$B$289*'Sensitivities 2P'!$B$10</f>
        <v>0</v>
      </c>
      <c r="BC67" s="27">
        <f>BC27*BC64*'Model Inputs'!$B$289*'Sensitivities 2P'!$B$10</f>
        <v>0</v>
      </c>
      <c r="BD67" s="27">
        <f>BD27*BD64*'Model Inputs'!$B$289*'Sensitivities 2P'!$B$10</f>
        <v>0</v>
      </c>
      <c r="BE67" s="27">
        <f>BE27*BE64*'Model Inputs'!$B$289*'Sensitivities 2P'!$B$10</f>
        <v>0</v>
      </c>
      <c r="BF67" s="27">
        <f>BF27*BF64*'Model Inputs'!$B$289*'Sensitivities 2P'!$B$10</f>
        <v>0</v>
      </c>
      <c r="BG67" s="27">
        <f>BG27*BG64*'Model Inputs'!$B$289*'Sensitivities 2P'!$B$10</f>
        <v>0</v>
      </c>
      <c r="BH67" s="27">
        <f>BH27*BH64*'Model Inputs'!$B$289*'Sensitivities 2P'!$B$10</f>
        <v>0</v>
      </c>
      <c r="BI67" s="27">
        <f>BI27*BI64*'Model Inputs'!$B$289*'Sensitivities 2P'!$B$10</f>
        <v>0</v>
      </c>
      <c r="BJ67" s="27">
        <f>BJ27*BJ64*'Model Inputs'!$B$289*'Sensitivities 2P'!$B$10</f>
        <v>0</v>
      </c>
      <c r="BK67" s="27">
        <f>BK27*BK64*'Model Inputs'!$B$289*'Sensitivities 2P'!$B$10</f>
        <v>0</v>
      </c>
      <c r="BL67" s="27">
        <f>BL27*BL64*'Model Inputs'!$B$289*'Sensitivities 2P'!$B$10</f>
        <v>0</v>
      </c>
      <c r="BM67" s="27">
        <f>BM27*BM64*'Model Inputs'!$B$289*'Sensitivities 2P'!$B$10</f>
        <v>0</v>
      </c>
      <c r="BN67" s="27">
        <f>BN27*BN64*'Model Inputs'!$B$289*'Sensitivities 2P'!$B$10</f>
        <v>0</v>
      </c>
      <c r="BO67" s="27">
        <f>BO27*BO64*'Model Inputs'!$B$289*'Sensitivities 2P'!$B$10</f>
        <v>0</v>
      </c>
    </row>
    <row r="68" spans="1:67" ht="15" customHeight="1" x14ac:dyDescent="0.2">
      <c r="A68" s="14" t="s">
        <v>210</v>
      </c>
      <c r="B68" s="68">
        <f t="shared" si="33"/>
        <v>8189.7177188762334</v>
      </c>
      <c r="C68" s="27">
        <f>C28*C64*'Model Inputs'!$B$289*'Sensitivities 2P'!$B$10</f>
        <v>221.25949080389017</v>
      </c>
      <c r="D68" s="27">
        <f>D28*D64*'Model Inputs'!$B$289*'Sensitivities 2P'!$B$10</f>
        <v>225.68468061996799</v>
      </c>
      <c r="E68" s="27">
        <f>E28*E64*'Model Inputs'!$B$289*'Sensitivities 2P'!$B$10</f>
        <v>230.19837423236734</v>
      </c>
      <c r="F68" s="27">
        <f>F28*F64*'Model Inputs'!$B$289*'Sensitivities 2P'!$B$10</f>
        <v>234.80234171701466</v>
      </c>
      <c r="G68" s="27">
        <f>G28*G64*'Model Inputs'!$B$289*'Sensitivities 2P'!$B$10</f>
        <v>239.49838855135496</v>
      </c>
      <c r="H68" s="27">
        <f>H28*H64*'Model Inputs'!$B$289*'Sensitivities 2P'!$B$10</f>
        <v>244.28835632238207</v>
      </c>
      <c r="I68" s="27">
        <f>I28*I64*'Model Inputs'!$B$289*'Sensitivities 2P'!$B$10</f>
        <v>249.17412344882973</v>
      </c>
      <c r="J68" s="27">
        <f>J28*J64*'Model Inputs'!$B$289*'Sensitivities 2P'!$B$10</f>
        <v>254.15760591780631</v>
      </c>
      <c r="K68" s="27">
        <f>K28*K64*'Model Inputs'!$B$289*'Sensitivities 2P'!$B$10</f>
        <v>259.24075803616245</v>
      </c>
      <c r="L68" s="27">
        <f>L28*L64*'Model Inputs'!$B$289*'Sensitivities 2P'!$B$10</f>
        <v>264.42557319688575</v>
      </c>
      <c r="M68" s="27">
        <f>M28*M64*'Model Inputs'!$B$289*'Sensitivities 2P'!$B$10</f>
        <v>269.71408466082346</v>
      </c>
      <c r="N68" s="27">
        <f>N28*N64*'Model Inputs'!$B$289*'Sensitivities 2P'!$B$10</f>
        <v>275.1083663540399</v>
      </c>
      <c r="O68" s="27">
        <f>O28*O64*'Model Inputs'!$B$289*'Sensitivities 2P'!$B$10</f>
        <v>280.61053368112073</v>
      </c>
      <c r="P68" s="27">
        <f>P28*P64*'Model Inputs'!$B$289*'Sensitivities 2P'!$B$10</f>
        <v>286.2227443547431</v>
      </c>
      <c r="Q68" s="27">
        <f>Q28*Q64*'Model Inputs'!$B$289*'Sensitivities 2P'!$B$10</f>
        <v>291.94719924183801</v>
      </c>
      <c r="R68" s="27">
        <f>R28*R64*'Model Inputs'!$B$289*'Sensitivities 2P'!$B$10</f>
        <v>297.78614322667471</v>
      </c>
      <c r="S68" s="27">
        <f>S28*S64*'Model Inputs'!$B$289*'Sensitivities 2P'!$B$10</f>
        <v>303.74186609120824</v>
      </c>
      <c r="T68" s="27">
        <f>T28*T64*'Model Inputs'!$B$289*'Sensitivities 2P'!$B$10</f>
        <v>309.81670341303243</v>
      </c>
      <c r="U68" s="27">
        <f>U28*U64*'Model Inputs'!$B$289*'Sensitivities 2P'!$B$10</f>
        <v>316.01303748129311</v>
      </c>
      <c r="V68" s="27">
        <f>V28*V64*'Model Inputs'!$B$289*'Sensitivities 2P'!$B$10</f>
        <v>322.33329823091896</v>
      </c>
      <c r="W68" s="27">
        <f>W28*W64*'Model Inputs'!$B$289*'Sensitivities 2P'!$B$10</f>
        <v>328.77996419553739</v>
      </c>
      <c r="X68" s="27">
        <f>X28*X64*'Model Inputs'!$B$289*'Sensitivities 2P'!$B$10</f>
        <v>335.35556347944811</v>
      </c>
      <c r="Y68" s="27">
        <f>Y28*Y64*'Model Inputs'!$B$289*'Sensitivities 2P'!$B$10</f>
        <v>342.06267474903706</v>
      </c>
      <c r="Z68" s="27">
        <f>Z28*Z64*'Model Inputs'!$B$289*'Sensitivities 2P'!$B$10</f>
        <v>348.90392824401783</v>
      </c>
      <c r="AA68" s="27">
        <f>AA28*AA64*'Model Inputs'!$B$289*'Sensitivities 2P'!$B$10</f>
        <v>355.88200680889815</v>
      </c>
      <c r="AB68" s="27">
        <f>AB28*AB64*'Model Inputs'!$B$289*'Sensitivities 2P'!$B$10</f>
        <v>362.99964694507617</v>
      </c>
      <c r="AC68" s="27">
        <f>AC28*AC64*'Model Inputs'!$B$289*'Sensitivities 2P'!$B$10</f>
        <v>370.25963988397763</v>
      </c>
      <c r="AD68" s="27">
        <f>AD28*AD64*'Model Inputs'!$B$289*'Sensitivities 2P'!$B$10</f>
        <v>369.45062498788604</v>
      </c>
      <c r="AE68" s="27">
        <f>AE28*AE64*'Model Inputs'!$B$289*'Sensitivities 2P'!$B$10</f>
        <v>0</v>
      </c>
      <c r="AF68" s="27">
        <f>AF28*AF64*'Model Inputs'!$B$289*'Sensitivities 2P'!$B$10</f>
        <v>0</v>
      </c>
      <c r="AG68" s="27">
        <f>AG28*AG64*'Model Inputs'!$B$289*'Sensitivities 2P'!$B$10</f>
        <v>0</v>
      </c>
      <c r="AH68" s="27">
        <f>AH28*AH64*'Model Inputs'!$B$289*'Sensitivities 2P'!$B$10</f>
        <v>0</v>
      </c>
      <c r="AI68" s="27">
        <f>AI28*AI64*'Model Inputs'!$B$289*'Sensitivities 2P'!$B$10</f>
        <v>0</v>
      </c>
      <c r="AJ68" s="27">
        <f>AJ28*AJ64*'Model Inputs'!$B$289*'Sensitivities 2P'!$B$10</f>
        <v>0</v>
      </c>
      <c r="AK68" s="27">
        <f>AK28*AK64*'Model Inputs'!$B$289*'Sensitivities 2P'!$B$10</f>
        <v>0</v>
      </c>
      <c r="AL68" s="27">
        <f>AL28*AL64*'Model Inputs'!$B$289*'Sensitivities 2P'!$B$10</f>
        <v>0</v>
      </c>
      <c r="AM68" s="27">
        <f>AM28*AM64*'Model Inputs'!$B$289*'Sensitivities 2P'!$B$10</f>
        <v>0</v>
      </c>
      <c r="AN68" s="27">
        <f>AN28*AN64*'Model Inputs'!$B$289*'Sensitivities 2P'!$B$10</f>
        <v>0</v>
      </c>
      <c r="AO68" s="27">
        <f>AO28*AO64*'Model Inputs'!$B$289*'Sensitivities 2P'!$B$10</f>
        <v>0</v>
      </c>
      <c r="AP68" s="27">
        <f>AP28*AP64*'Model Inputs'!$B$289*'Sensitivities 2P'!$B$10</f>
        <v>0</v>
      </c>
      <c r="AQ68" s="27">
        <f>AQ28*AQ64*'Model Inputs'!$B$289*'Sensitivities 2P'!$B$10</f>
        <v>0</v>
      </c>
      <c r="AR68" s="27">
        <f>AR28*AR64*'Model Inputs'!$B$289*'Sensitivities 2P'!$B$10</f>
        <v>0</v>
      </c>
      <c r="AS68" s="27">
        <f>AS28*AS64*'Model Inputs'!$B$289*'Sensitivities 2P'!$B$10</f>
        <v>0</v>
      </c>
      <c r="AT68" s="27">
        <f>AT28*AT64*'Model Inputs'!$B$289*'Sensitivities 2P'!$B$10</f>
        <v>0</v>
      </c>
      <c r="AU68" s="27">
        <f>AU28*AU64*'Model Inputs'!$B$289*'Sensitivities 2P'!$B$10</f>
        <v>0</v>
      </c>
      <c r="AV68" s="27">
        <f>AV28*AV64*'Model Inputs'!$B$289*'Sensitivities 2P'!$B$10</f>
        <v>0</v>
      </c>
      <c r="AW68" s="27">
        <f>AW28*AW64*'Model Inputs'!$B$289*'Sensitivities 2P'!$B$10</f>
        <v>0</v>
      </c>
      <c r="AX68" s="27">
        <f>AX28*AX64*'Model Inputs'!$B$289*'Sensitivities 2P'!$B$10</f>
        <v>0</v>
      </c>
      <c r="AY68" s="27">
        <f>AY28*AY64*'Model Inputs'!$B$289*'Sensitivities 2P'!$B$10</f>
        <v>0</v>
      </c>
      <c r="AZ68" s="27">
        <f>AZ28*AZ64*'Model Inputs'!$B$289*'Sensitivities 2P'!$B$10</f>
        <v>0</v>
      </c>
      <c r="BA68" s="27">
        <f>BA28*BA64*'Model Inputs'!$B$289*'Sensitivities 2P'!$B$10</f>
        <v>0</v>
      </c>
      <c r="BB68" s="27">
        <f>BB28*BB64*'Model Inputs'!$B$289*'Sensitivities 2P'!$B$10</f>
        <v>0</v>
      </c>
      <c r="BC68" s="27">
        <f>BC28*BC64*'Model Inputs'!$B$289*'Sensitivities 2P'!$B$10</f>
        <v>0</v>
      </c>
      <c r="BD68" s="27">
        <f>BD28*BD64*'Model Inputs'!$B$289*'Sensitivities 2P'!$B$10</f>
        <v>0</v>
      </c>
      <c r="BE68" s="27">
        <f>BE28*BE64*'Model Inputs'!$B$289*'Sensitivities 2P'!$B$10</f>
        <v>0</v>
      </c>
      <c r="BF68" s="27">
        <f>BF28*BF64*'Model Inputs'!$B$289*'Sensitivities 2P'!$B$10</f>
        <v>0</v>
      </c>
      <c r="BG68" s="27">
        <f>BG28*BG64*'Model Inputs'!$B$289*'Sensitivities 2P'!$B$10</f>
        <v>0</v>
      </c>
      <c r="BH68" s="27">
        <f>BH28*BH64*'Model Inputs'!$B$289*'Sensitivities 2P'!$B$10</f>
        <v>0</v>
      </c>
      <c r="BI68" s="27">
        <f>BI28*BI64*'Model Inputs'!$B$289*'Sensitivities 2P'!$B$10</f>
        <v>0</v>
      </c>
      <c r="BJ68" s="27">
        <f>BJ28*BJ64*'Model Inputs'!$B$289*'Sensitivities 2P'!$B$10</f>
        <v>0</v>
      </c>
      <c r="BK68" s="27">
        <f>BK28*BK64*'Model Inputs'!$B$289*'Sensitivities 2P'!$B$10</f>
        <v>0</v>
      </c>
      <c r="BL68" s="27">
        <f>BL28*BL64*'Model Inputs'!$B$289*'Sensitivities 2P'!$B$10</f>
        <v>0</v>
      </c>
      <c r="BM68" s="27">
        <f>BM28*BM64*'Model Inputs'!$B$289*'Sensitivities 2P'!$B$10</f>
        <v>0</v>
      </c>
      <c r="BN68" s="27">
        <f>BN28*BN64*'Model Inputs'!$B$289*'Sensitivities 2P'!$B$10</f>
        <v>0</v>
      </c>
      <c r="BO68" s="27">
        <f>BO28*BO64*'Model Inputs'!$B$289*'Sensitivities 2P'!$B$10</f>
        <v>0</v>
      </c>
    </row>
    <row r="69" spans="1:67" ht="15" customHeight="1" x14ac:dyDescent="0.2">
      <c r="A69" s="14" t="s">
        <v>211</v>
      </c>
      <c r="B69" s="68">
        <f t="shared" si="33"/>
        <v>8583.2176693327474</v>
      </c>
      <c r="C69" s="27">
        <f>C29*C64*'Model Inputs'!$B$289*'Sensitivities 2P'!$B$10</f>
        <v>231.89057744912211</v>
      </c>
      <c r="D69" s="27">
        <f>D29*D64*'Model Inputs'!$B$289*'Sensitivities 2P'!$B$10</f>
        <v>236.52838899810456</v>
      </c>
      <c r="E69" s="27">
        <f>E29*E64*'Model Inputs'!$B$289*'Sensitivities 2P'!$B$10</f>
        <v>241.25895677806665</v>
      </c>
      <c r="F69" s="27">
        <f>F29*F64*'Model Inputs'!$B$289*'Sensitivities 2P'!$B$10</f>
        <v>246.08413591362796</v>
      </c>
      <c r="G69" s="27">
        <f>G29*G64*'Model Inputs'!$B$289*'Sensitivities 2P'!$B$10</f>
        <v>251.00581863190052</v>
      </c>
      <c r="H69" s="27">
        <f>H29*H64*'Model Inputs'!$B$289*'Sensitivities 2P'!$B$10</f>
        <v>256.02593500453855</v>
      </c>
      <c r="I69" s="27">
        <f>I29*I64*'Model Inputs'!$B$289*'Sensitivities 2P'!$B$10</f>
        <v>261.14645370462932</v>
      </c>
      <c r="J69" s="27">
        <f>J29*J64*'Model Inputs'!$B$289*'Sensitivities 2P'!$B$10</f>
        <v>266.3693827787219</v>
      </c>
      <c r="K69" s="27">
        <f>K29*K64*'Model Inputs'!$B$289*'Sensitivities 2P'!$B$10</f>
        <v>271.69677043429635</v>
      </c>
      <c r="L69" s="27">
        <f>L29*L64*'Model Inputs'!$B$289*'Sensitivities 2P'!$B$10</f>
        <v>277.13070584298231</v>
      </c>
      <c r="M69" s="27">
        <f>M29*M64*'Model Inputs'!$B$289*'Sensitivities 2P'!$B$10</f>
        <v>282.67331995984193</v>
      </c>
      <c r="N69" s="27">
        <f>N29*N64*'Model Inputs'!$B$289*'Sensitivities 2P'!$B$10</f>
        <v>288.32678635903881</v>
      </c>
      <c r="O69" s="27">
        <f>O29*O64*'Model Inputs'!$B$289*'Sensitivities 2P'!$B$10</f>
        <v>294.09332208621959</v>
      </c>
      <c r="P69" s="27">
        <f>P29*P64*'Model Inputs'!$B$289*'Sensitivities 2P'!$B$10</f>
        <v>299.97518852794394</v>
      </c>
      <c r="Q69" s="27">
        <f>Q29*Q64*'Model Inputs'!$B$289*'Sensitivities 2P'!$B$10</f>
        <v>305.97469229850287</v>
      </c>
      <c r="R69" s="27">
        <f>R29*R64*'Model Inputs'!$B$289*'Sensitivities 2P'!$B$10</f>
        <v>312.09418614447293</v>
      </c>
      <c r="S69" s="27">
        <f>S29*S64*'Model Inputs'!$B$289*'Sensitivities 2P'!$B$10</f>
        <v>318.33606986736237</v>
      </c>
      <c r="T69" s="27">
        <f>T29*T64*'Model Inputs'!$B$289*'Sensitivities 2P'!$B$10</f>
        <v>324.70279126470962</v>
      </c>
      <c r="U69" s="27">
        <f>U29*U64*'Model Inputs'!$B$289*'Sensitivities 2P'!$B$10</f>
        <v>331.19684709000387</v>
      </c>
      <c r="V69" s="27">
        <f>V29*V64*'Model Inputs'!$B$289*'Sensitivities 2P'!$B$10</f>
        <v>337.8207840318039</v>
      </c>
      <c r="W69" s="27">
        <f>W29*W64*'Model Inputs'!$B$289*'Sensitivities 2P'!$B$10</f>
        <v>344.57719971244001</v>
      </c>
      <c r="X69" s="27">
        <f>X29*X64*'Model Inputs'!$B$289*'Sensitivities 2P'!$B$10</f>
        <v>351.46874370668888</v>
      </c>
      <c r="Y69" s="27">
        <f>Y29*Y64*'Model Inputs'!$B$289*'Sensitivities 2P'!$B$10</f>
        <v>358.49811858082262</v>
      </c>
      <c r="Z69" s="27">
        <f>Z29*Z64*'Model Inputs'!$B$289*'Sensitivities 2P'!$B$10</f>
        <v>365.66808095243908</v>
      </c>
      <c r="AA69" s="27">
        <f>AA29*AA64*'Model Inputs'!$B$289*'Sensitivities 2P'!$B$10</f>
        <v>372.98144257148789</v>
      </c>
      <c r="AB69" s="27">
        <f>AB29*AB64*'Model Inputs'!$B$289*'Sensitivities 2P'!$B$10</f>
        <v>380.44107142291767</v>
      </c>
      <c r="AC69" s="27">
        <f>AC29*AC64*'Model Inputs'!$B$289*'Sensitivities 2P'!$B$10</f>
        <v>388.049892851376</v>
      </c>
      <c r="AD69" s="27">
        <f>AD29*AD64*'Model Inputs'!$B$289*'Sensitivities 2P'!$B$10</f>
        <v>387.20200636868532</v>
      </c>
      <c r="AE69" s="27">
        <f>AE29*AE64*'Model Inputs'!$B$289*'Sensitivities 2P'!$B$10</f>
        <v>0</v>
      </c>
      <c r="AF69" s="27">
        <f>AF29*AF64*'Model Inputs'!$B$289*'Sensitivities 2P'!$B$10</f>
        <v>0</v>
      </c>
      <c r="AG69" s="27">
        <f>AG29*AG64*'Model Inputs'!$B$289*'Sensitivities 2P'!$B$10</f>
        <v>0</v>
      </c>
      <c r="AH69" s="27">
        <f>AH29*AH64*'Model Inputs'!$B$289*'Sensitivities 2P'!$B$10</f>
        <v>0</v>
      </c>
      <c r="AI69" s="27">
        <f>AI29*AI64*'Model Inputs'!$B$289*'Sensitivities 2P'!$B$10</f>
        <v>0</v>
      </c>
      <c r="AJ69" s="27">
        <f>AJ29*AJ64*'Model Inputs'!$B$289*'Sensitivities 2P'!$B$10</f>
        <v>0</v>
      </c>
      <c r="AK69" s="27">
        <f>AK29*AK64*'Model Inputs'!$B$289*'Sensitivities 2P'!$B$10</f>
        <v>0</v>
      </c>
      <c r="AL69" s="27">
        <f>AL29*AL64*'Model Inputs'!$B$289*'Sensitivities 2P'!$B$10</f>
        <v>0</v>
      </c>
      <c r="AM69" s="27">
        <f>AM29*AM64*'Model Inputs'!$B$289*'Sensitivities 2P'!$B$10</f>
        <v>0</v>
      </c>
      <c r="AN69" s="27">
        <f>AN29*AN64*'Model Inputs'!$B$289*'Sensitivities 2P'!$B$10</f>
        <v>0</v>
      </c>
      <c r="AO69" s="27">
        <f>AO29*AO64*'Model Inputs'!$B$289*'Sensitivities 2P'!$B$10</f>
        <v>0</v>
      </c>
      <c r="AP69" s="27">
        <f>AP29*AP64*'Model Inputs'!$B$289*'Sensitivities 2P'!$B$10</f>
        <v>0</v>
      </c>
      <c r="AQ69" s="27">
        <f>AQ29*AQ64*'Model Inputs'!$B$289*'Sensitivities 2P'!$B$10</f>
        <v>0</v>
      </c>
      <c r="AR69" s="27">
        <f>AR29*AR64*'Model Inputs'!$B$289*'Sensitivities 2P'!$B$10</f>
        <v>0</v>
      </c>
      <c r="AS69" s="27">
        <f>AS29*AS64*'Model Inputs'!$B$289*'Sensitivities 2P'!$B$10</f>
        <v>0</v>
      </c>
      <c r="AT69" s="27">
        <f>AT29*AT64*'Model Inputs'!$B$289*'Sensitivities 2P'!$B$10</f>
        <v>0</v>
      </c>
      <c r="AU69" s="27">
        <f>AU29*AU64*'Model Inputs'!$B$289*'Sensitivities 2P'!$B$10</f>
        <v>0</v>
      </c>
      <c r="AV69" s="27">
        <f>AV29*AV64*'Model Inputs'!$B$289*'Sensitivities 2P'!$B$10</f>
        <v>0</v>
      </c>
      <c r="AW69" s="27">
        <f>AW29*AW64*'Model Inputs'!$B$289*'Sensitivities 2P'!$B$10</f>
        <v>0</v>
      </c>
      <c r="AX69" s="27">
        <f>AX29*AX64*'Model Inputs'!$B$289*'Sensitivities 2P'!$B$10</f>
        <v>0</v>
      </c>
      <c r="AY69" s="27">
        <f>AY29*AY64*'Model Inputs'!$B$289*'Sensitivities 2P'!$B$10</f>
        <v>0</v>
      </c>
      <c r="AZ69" s="27">
        <f>AZ29*AZ64*'Model Inputs'!$B$289*'Sensitivities 2P'!$B$10</f>
        <v>0</v>
      </c>
      <c r="BA69" s="27">
        <f>BA29*BA64*'Model Inputs'!$B$289*'Sensitivities 2P'!$B$10</f>
        <v>0</v>
      </c>
      <c r="BB69" s="27">
        <f>BB29*BB64*'Model Inputs'!$B$289*'Sensitivities 2P'!$B$10</f>
        <v>0</v>
      </c>
      <c r="BC69" s="27">
        <f>BC29*BC64*'Model Inputs'!$B$289*'Sensitivities 2P'!$B$10</f>
        <v>0</v>
      </c>
      <c r="BD69" s="27">
        <f>BD29*BD64*'Model Inputs'!$B$289*'Sensitivities 2P'!$B$10</f>
        <v>0</v>
      </c>
      <c r="BE69" s="27">
        <f>BE29*BE64*'Model Inputs'!$B$289*'Sensitivities 2P'!$B$10</f>
        <v>0</v>
      </c>
      <c r="BF69" s="27">
        <f>BF29*BF64*'Model Inputs'!$B$289*'Sensitivities 2P'!$B$10</f>
        <v>0</v>
      </c>
      <c r="BG69" s="27">
        <f>BG29*BG64*'Model Inputs'!$B$289*'Sensitivities 2P'!$B$10</f>
        <v>0</v>
      </c>
      <c r="BH69" s="27">
        <f>BH29*BH64*'Model Inputs'!$B$289*'Sensitivities 2P'!$B$10</f>
        <v>0</v>
      </c>
      <c r="BI69" s="27">
        <f>BI29*BI64*'Model Inputs'!$B$289*'Sensitivities 2P'!$B$10</f>
        <v>0</v>
      </c>
      <c r="BJ69" s="27">
        <f>BJ29*BJ64*'Model Inputs'!$B$289*'Sensitivities 2P'!$B$10</f>
        <v>0</v>
      </c>
      <c r="BK69" s="27">
        <f>BK29*BK64*'Model Inputs'!$B$289*'Sensitivities 2P'!$B$10</f>
        <v>0</v>
      </c>
      <c r="BL69" s="27">
        <f>BL29*BL64*'Model Inputs'!$B$289*'Sensitivities 2P'!$B$10</f>
        <v>0</v>
      </c>
      <c r="BM69" s="27">
        <f>BM29*BM64*'Model Inputs'!$B$289*'Sensitivities 2P'!$B$10</f>
        <v>0</v>
      </c>
      <c r="BN69" s="27">
        <f>BN29*BN64*'Model Inputs'!$B$289*'Sensitivities 2P'!$B$10</f>
        <v>0</v>
      </c>
      <c r="BO69" s="27">
        <f>BO29*BO64*'Model Inputs'!$B$289*'Sensitivities 2P'!$B$10</f>
        <v>0</v>
      </c>
    </row>
    <row r="70" spans="1:67" ht="15" customHeight="1" x14ac:dyDescent="0.2">
      <c r="A70" s="14" t="s">
        <v>212</v>
      </c>
      <c r="B70" s="68">
        <f t="shared" si="33"/>
        <v>160807.70266293417</v>
      </c>
      <c r="C70" s="27">
        <f>C30*C64*'Model Inputs'!$B$289*'Sensitivities 2P'!$B$10</f>
        <v>1964.8526210384068</v>
      </c>
      <c r="D70" s="27">
        <f>D30*D64*'Model Inputs'!$B$289*'Sensitivities 2P'!$B$10</f>
        <v>2004.1496734591751</v>
      </c>
      <c r="E70" s="27">
        <f>E30*E64*'Model Inputs'!$B$289*'Sensitivities 2P'!$B$10</f>
        <v>2044.2326669283584</v>
      </c>
      <c r="F70" s="27">
        <f>F30*F64*'Model Inputs'!$B$289*'Sensitivities 2P'!$B$10</f>
        <v>2085.1173202669256</v>
      </c>
      <c r="G70" s="27">
        <f>G30*G64*'Model Inputs'!$B$289*'Sensitivities 2P'!$B$10</f>
        <v>2126.8196666722642</v>
      </c>
      <c r="H70" s="27">
        <f>H30*H64*'Model Inputs'!$B$289*'Sensitivities 2P'!$B$10</f>
        <v>2169.3560600057094</v>
      </c>
      <c r="I70" s="27">
        <f>I30*I64*'Model Inputs'!$B$289*'Sensitivities 2P'!$B$10</f>
        <v>2212.7431812058239</v>
      </c>
      <c r="J70" s="27">
        <f>J30*J64*'Model Inputs'!$B$289*'Sensitivities 2P'!$B$10</f>
        <v>2256.9980448299402</v>
      </c>
      <c r="K70" s="27">
        <f>K30*K64*'Model Inputs'!$B$289*'Sensitivities 2P'!$B$10</f>
        <v>2302.1380057265392</v>
      </c>
      <c r="L70" s="27">
        <f>L30*L64*'Model Inputs'!$B$289*'Sensitivities 2P'!$B$10</f>
        <v>2348.1807658410698</v>
      </c>
      <c r="M70" s="27">
        <f>M30*M64*'Model Inputs'!$B$289*'Sensitivities 2P'!$B$10</f>
        <v>2395.1443811578915</v>
      </c>
      <c r="N70" s="27">
        <f>N30*N64*'Model Inputs'!$B$289*'Sensitivities 2P'!$B$10</f>
        <v>2443.0472687810493</v>
      </c>
      <c r="O70" s="27">
        <f>O30*O64*'Model Inputs'!$B$289*'Sensitivities 2P'!$B$10</f>
        <v>2491.9082141566705</v>
      </c>
      <c r="P70" s="27">
        <f>P30*P64*'Model Inputs'!$B$289*'Sensitivities 2P'!$B$10</f>
        <v>2541.7463784398033</v>
      </c>
      <c r="Q70" s="27">
        <f>Q30*Q64*'Model Inputs'!$B$289*'Sensitivities 2P'!$B$10</f>
        <v>2592.5813060085998</v>
      </c>
      <c r="R70" s="27">
        <f>R30*R64*'Model Inputs'!$B$289*'Sensitivities 2P'!$B$10</f>
        <v>2644.4329321287719</v>
      </c>
      <c r="S70" s="27">
        <f>S30*S64*'Model Inputs'!$B$289*'Sensitivities 2P'!$B$10</f>
        <v>2697.3215907713475</v>
      </c>
      <c r="T70" s="27">
        <f>T30*T64*'Model Inputs'!$B$289*'Sensitivities 2P'!$B$10</f>
        <v>2751.2680225867748</v>
      </c>
      <c r="U70" s="27">
        <f>U30*U64*'Model Inputs'!$B$289*'Sensitivities 2P'!$B$10</f>
        <v>2806.29338303851</v>
      </c>
      <c r="V70" s="27">
        <f>V30*V64*'Model Inputs'!$B$289*'Sensitivities 2P'!$B$10</f>
        <v>2862.4192506992799</v>
      </c>
      <c r="W70" s="27">
        <f>W30*W64*'Model Inputs'!$B$289*'Sensitivities 2P'!$B$10</f>
        <v>2919.6676357132665</v>
      </c>
      <c r="X70" s="27">
        <f>X30*X64*'Model Inputs'!$B$289*'Sensitivities 2P'!$B$10</f>
        <v>2978.0609884275318</v>
      </c>
      <c r="Y70" s="27">
        <f>Y30*Y64*'Model Inputs'!$B$289*'Sensitivities 2P'!$B$10</f>
        <v>3037.6222081960823</v>
      </c>
      <c r="Z70" s="27">
        <f>Z30*Z64*'Model Inputs'!$B$289*'Sensitivities 2P'!$B$10</f>
        <v>3098.3746523600034</v>
      </c>
      <c r="AA70" s="27">
        <f>AA30*AA64*'Model Inputs'!$B$289*'Sensitivities 2P'!$B$10</f>
        <v>3160.3421454072036</v>
      </c>
      <c r="AB70" s="27">
        <f>AB30*AB64*'Model Inputs'!$B$289*'Sensitivities 2P'!$B$10</f>
        <v>3223.5489883153477</v>
      </c>
      <c r="AC70" s="27">
        <f>AC30*AC64*'Model Inputs'!$B$289*'Sensitivities 2P'!$B$10</f>
        <v>3288.019968081655</v>
      </c>
      <c r="AD70" s="27">
        <f>AD30*AD64*'Model Inputs'!$B$289*'Sensitivities 2P'!$B$10</f>
        <v>3353.7803674432885</v>
      </c>
      <c r="AE70" s="27">
        <f>AE30*AE64*'Model Inputs'!$B$289*'Sensitivities 2P'!$B$10</f>
        <v>3420.8559747921545</v>
      </c>
      <c r="AF70" s="27">
        <f>AF30*AF64*'Model Inputs'!$B$289*'Sensitivities 2P'!$B$10</f>
        <v>3489.2730942879971</v>
      </c>
      <c r="AG70" s="27">
        <f>AG30*AG64*'Model Inputs'!$B$289*'Sensitivities 2P'!$B$10</f>
        <v>3559.0585561737576</v>
      </c>
      <c r="AH70" s="27">
        <f>AH30*AH64*'Model Inputs'!$B$289*'Sensitivities 2P'!$B$10</f>
        <v>3630.2397272972325</v>
      </c>
      <c r="AI70" s="27">
        <f>AI30*AI64*'Model Inputs'!$B$289*'Sensitivities 2P'!$B$10</f>
        <v>3702.8445218431771</v>
      </c>
      <c r="AJ70" s="27">
        <f>AJ30*AJ64*'Model Inputs'!$B$289*'Sensitivities 2P'!$B$10</f>
        <v>3776.9014122800413</v>
      </c>
      <c r="AK70" s="27">
        <f>AK30*AK64*'Model Inputs'!$B$289*'Sensitivities 2P'!$B$10</f>
        <v>3852.4394405256421</v>
      </c>
      <c r="AL70" s="27">
        <f>AL30*AL64*'Model Inputs'!$B$289*'Sensitivities 2P'!$B$10</f>
        <v>3929.4882293361547</v>
      </c>
      <c r="AM70" s="27">
        <f>AM30*AM64*'Model Inputs'!$B$289*'Sensitivities 2P'!$B$10</f>
        <v>4008.0779939228778</v>
      </c>
      <c r="AN70" s="27">
        <f>AN30*AN64*'Model Inputs'!$B$289*'Sensitivities 2P'!$B$10</f>
        <v>4088.2395538013357</v>
      </c>
      <c r="AO70" s="27">
        <f>AO30*AO64*'Model Inputs'!$B$289*'Sensitivities 2P'!$B$10</f>
        <v>4170.0043448773622</v>
      </c>
      <c r="AP70" s="27">
        <f>AP30*AP64*'Model Inputs'!$B$289*'Sensitivities 2P'!$B$10</f>
        <v>4253.4044317749103</v>
      </c>
      <c r="AQ70" s="27">
        <f>AQ30*AQ64*'Model Inputs'!$B$289*'Sensitivities 2P'!$B$10</f>
        <v>4338.4725204104079</v>
      </c>
      <c r="AR70" s="27">
        <f>AR30*AR64*'Model Inputs'!$B$289*'Sensitivities 2P'!$B$10</f>
        <v>4425.2419708186162</v>
      </c>
      <c r="AS70" s="27">
        <f>AS30*AS64*'Model Inputs'!$B$289*'Sensitivities 2P'!$B$10</f>
        <v>4513.7468102349885</v>
      </c>
      <c r="AT70" s="27">
        <f>AT30*AT64*'Model Inputs'!$B$289*'Sensitivities 2P'!$B$10</f>
        <v>4604.0217464396883</v>
      </c>
      <c r="AU70" s="27">
        <f>AU30*AU64*'Model Inputs'!$B$289*'Sensitivities 2P'!$B$10</f>
        <v>4696.102181368482</v>
      </c>
      <c r="AV70" s="27">
        <f>AV30*AV64*'Model Inputs'!$B$289*'Sensitivities 2P'!$B$10</f>
        <v>4790.0242249958519</v>
      </c>
      <c r="AW70" s="27">
        <f>AW30*AW64*'Model Inputs'!$B$289*'Sensitivities 2P'!$B$10</f>
        <v>4885.8247094957687</v>
      </c>
      <c r="AX70" s="27">
        <f>AX30*AX64*'Model Inputs'!$B$289*'Sensitivities 2P'!$B$10</f>
        <v>4983.5412036856833</v>
      </c>
      <c r="AY70" s="27">
        <f>AY30*AY64*'Model Inputs'!$B$289*'Sensitivities 2P'!$B$10</f>
        <v>4889.7323268847731</v>
      </c>
      <c r="AZ70" s="27">
        <f>AZ30*AZ64*'Model Inputs'!$B$289*'Sensitivities 2P'!$B$10</f>
        <v>0</v>
      </c>
      <c r="BA70" s="27">
        <f>BA30*BA64*'Model Inputs'!$B$289*'Sensitivities 2P'!$B$10</f>
        <v>0</v>
      </c>
      <c r="BB70" s="27">
        <f>BB30*BB64*'Model Inputs'!$B$289*'Sensitivities 2P'!$B$10</f>
        <v>0</v>
      </c>
      <c r="BC70" s="27">
        <f>BC30*BC64*'Model Inputs'!$B$289*'Sensitivities 2P'!$B$10</f>
        <v>0</v>
      </c>
      <c r="BD70" s="27">
        <f>BD30*BD64*'Model Inputs'!$B$289*'Sensitivities 2P'!$B$10</f>
        <v>0</v>
      </c>
      <c r="BE70" s="27">
        <f>BE30*BE64*'Model Inputs'!$B$289*'Sensitivities 2P'!$B$10</f>
        <v>0</v>
      </c>
      <c r="BF70" s="27">
        <f>BF30*BF64*'Model Inputs'!$B$289*'Sensitivities 2P'!$B$10</f>
        <v>0</v>
      </c>
      <c r="BG70" s="27">
        <f>BG30*BG64*'Model Inputs'!$B$289*'Sensitivities 2P'!$B$10</f>
        <v>0</v>
      </c>
      <c r="BH70" s="27">
        <f>BH30*BH64*'Model Inputs'!$B$289*'Sensitivities 2P'!$B$10</f>
        <v>0</v>
      </c>
      <c r="BI70" s="27">
        <f>BI30*BI64*'Model Inputs'!$B$289*'Sensitivities 2P'!$B$10</f>
        <v>0</v>
      </c>
      <c r="BJ70" s="27">
        <f>BJ30*BJ64*'Model Inputs'!$B$289*'Sensitivities 2P'!$B$10</f>
        <v>0</v>
      </c>
      <c r="BK70" s="27">
        <f>BK30*BK64*'Model Inputs'!$B$289*'Sensitivities 2P'!$B$10</f>
        <v>0</v>
      </c>
      <c r="BL70" s="27">
        <f>BL30*BL64*'Model Inputs'!$B$289*'Sensitivities 2P'!$B$10</f>
        <v>0</v>
      </c>
      <c r="BM70" s="27">
        <f>BM30*BM64*'Model Inputs'!$B$289*'Sensitivities 2P'!$B$10</f>
        <v>0</v>
      </c>
      <c r="BN70" s="27">
        <f>BN30*BN64*'Model Inputs'!$B$289*'Sensitivities 2P'!$B$10</f>
        <v>0</v>
      </c>
      <c r="BO70" s="27">
        <f>BO30*BO64*'Model Inputs'!$B$289*'Sensitivities 2P'!$B$10</f>
        <v>0</v>
      </c>
    </row>
    <row r="71" spans="1:67" ht="15" customHeight="1" x14ac:dyDescent="0.2">
      <c r="A71" s="14" t="s">
        <v>213</v>
      </c>
      <c r="B71" s="68">
        <f t="shared" si="33"/>
        <v>24224.760996922734</v>
      </c>
      <c r="C71" s="27">
        <f>C31*C64*'Model Inputs'!$B$289*'Sensitivities 2P'!$B$10</f>
        <v>453.08678797536209</v>
      </c>
      <c r="D71" s="27">
        <f>D31*D64*'Model Inputs'!$B$289*'Sensitivities 2P'!$B$10</f>
        <v>462.14852373486934</v>
      </c>
      <c r="E71" s="27">
        <f>E31*E64*'Model Inputs'!$B$289*'Sensitivities 2P'!$B$10</f>
        <v>471.3914942095667</v>
      </c>
      <c r="F71" s="27">
        <f>F31*F64*'Model Inputs'!$B$289*'Sensitivities 2P'!$B$10</f>
        <v>480.81932409375804</v>
      </c>
      <c r="G71" s="27">
        <f>G31*G64*'Model Inputs'!$B$289*'Sensitivities 2P'!$B$10</f>
        <v>490.43571057563321</v>
      </c>
      <c r="H71" s="27">
        <f>H31*H64*'Model Inputs'!$B$289*'Sensitivities 2P'!$B$10</f>
        <v>500.24442478714593</v>
      </c>
      <c r="I71" s="27">
        <f>I31*I64*'Model Inputs'!$B$289*'Sensitivities 2P'!$B$10</f>
        <v>510.24931328288881</v>
      </c>
      <c r="J71" s="27">
        <f>J31*J64*'Model Inputs'!$B$289*'Sensitivities 2P'!$B$10</f>
        <v>520.4542995485466</v>
      </c>
      <c r="K71" s="27">
        <f>K31*K64*'Model Inputs'!$B$289*'Sensitivities 2P'!$B$10</f>
        <v>530.86338553951759</v>
      </c>
      <c r="L71" s="27">
        <f>L31*L64*'Model Inputs'!$B$289*'Sensitivities 2P'!$B$10</f>
        <v>541.48065325030791</v>
      </c>
      <c r="M71" s="27">
        <f>M31*M64*'Model Inputs'!$B$289*'Sensitivities 2P'!$B$10</f>
        <v>552.31026631531415</v>
      </c>
      <c r="N71" s="27">
        <f>N31*N64*'Model Inputs'!$B$289*'Sensitivities 2P'!$B$10</f>
        <v>563.35647164162037</v>
      </c>
      <c r="O71" s="27">
        <f>O31*O64*'Model Inputs'!$B$289*'Sensitivities 2P'!$B$10</f>
        <v>574.62360107445284</v>
      </c>
      <c r="P71" s="27">
        <f>P31*P64*'Model Inputs'!$B$289*'Sensitivities 2P'!$B$10</f>
        <v>586.11607309594183</v>
      </c>
      <c r="Q71" s="27">
        <f>Q31*Q64*'Model Inputs'!$B$289*'Sensitivities 2P'!$B$10</f>
        <v>597.83839455786074</v>
      </c>
      <c r="R71" s="27">
        <f>R31*R64*'Model Inputs'!$B$289*'Sensitivities 2P'!$B$10</f>
        <v>609.79516244901799</v>
      </c>
      <c r="S71" s="27">
        <f>S31*S64*'Model Inputs'!$B$289*'Sensitivities 2P'!$B$10</f>
        <v>621.99106569799835</v>
      </c>
      <c r="T71" s="27">
        <f>T31*T64*'Model Inputs'!$B$289*'Sensitivities 2P'!$B$10</f>
        <v>634.43088701195836</v>
      </c>
      <c r="U71" s="27">
        <f>U31*U64*'Model Inputs'!$B$289*'Sensitivities 2P'!$B$10</f>
        <v>647.11950475219749</v>
      </c>
      <c r="V71" s="27">
        <f>V31*V64*'Model Inputs'!$B$289*'Sensitivities 2P'!$B$10</f>
        <v>660.06189484724143</v>
      </c>
      <c r="W71" s="27">
        <f>W31*W64*'Model Inputs'!$B$289*'Sensitivities 2P'!$B$10</f>
        <v>673.26313274418624</v>
      </c>
      <c r="X71" s="27">
        <f>X31*X64*'Model Inputs'!$B$289*'Sensitivities 2P'!$B$10</f>
        <v>686.72839539907011</v>
      </c>
      <c r="Y71" s="27">
        <f>Y31*Y64*'Model Inputs'!$B$289*'Sensitivities 2P'!$B$10</f>
        <v>700.46296330705161</v>
      </c>
      <c r="Z71" s="27">
        <f>Z31*Z64*'Model Inputs'!$B$289*'Sensitivities 2P'!$B$10</f>
        <v>714.47222257319254</v>
      </c>
      <c r="AA71" s="27">
        <f>AA31*AA64*'Model Inputs'!$B$289*'Sensitivities 2P'!$B$10</f>
        <v>728.76166702465639</v>
      </c>
      <c r="AB71" s="27">
        <f>AB31*AB64*'Model Inputs'!$B$289*'Sensitivities 2P'!$B$10</f>
        <v>743.33690036514952</v>
      </c>
      <c r="AC71" s="27">
        <f>AC31*AC64*'Model Inputs'!$B$289*'Sensitivities 2P'!$B$10</f>
        <v>758.20363837245247</v>
      </c>
      <c r="AD71" s="27">
        <f>AD31*AD64*'Model Inputs'!$B$289*'Sensitivities 2P'!$B$10</f>
        <v>773.36771113990164</v>
      </c>
      <c r="AE71" s="27">
        <f>AE31*AE64*'Model Inputs'!$B$289*'Sensitivities 2P'!$B$10</f>
        <v>788.83506536269965</v>
      </c>
      <c r="AF71" s="27">
        <f>AF31*AF64*'Model Inputs'!$B$289*'Sensitivities 2P'!$B$10</f>
        <v>804.61176666995368</v>
      </c>
      <c r="AG71" s="27">
        <f>AG31*AG64*'Model Inputs'!$B$289*'Sensitivities 2P'!$B$10</f>
        <v>820.70400200335268</v>
      </c>
      <c r="AH71" s="27">
        <f>AH31*AH64*'Model Inputs'!$B$289*'Sensitivities 2P'!$B$10</f>
        <v>837.1180820434198</v>
      </c>
      <c r="AI71" s="27">
        <f>AI31*AI64*'Model Inputs'!$B$289*'Sensitivities 2P'!$B$10</f>
        <v>853.86044368428827</v>
      </c>
      <c r="AJ71" s="27">
        <f>AJ31*AJ64*'Model Inputs'!$B$289*'Sensitivities 2P'!$B$10</f>
        <v>870.93765255797416</v>
      </c>
      <c r="AK71" s="27">
        <f>AK31*AK64*'Model Inputs'!$B$289*'Sensitivities 2P'!$B$10</f>
        <v>888.35640560913362</v>
      </c>
      <c r="AL71" s="27">
        <f>AL31*AL64*'Model Inputs'!$B$289*'Sensitivities 2P'!$B$10</f>
        <v>906.12353372131622</v>
      </c>
      <c r="AM71" s="27">
        <f>AM31*AM64*'Model Inputs'!$B$289*'Sensitivities 2P'!$B$10</f>
        <v>666.80017590373598</v>
      </c>
      <c r="AN71" s="27">
        <f>AN31*AN64*'Model Inputs'!$B$289*'Sensitivities 2P'!$B$10</f>
        <v>0</v>
      </c>
      <c r="AO71" s="27">
        <f>AO31*AO64*'Model Inputs'!$B$289*'Sensitivities 2P'!$B$10</f>
        <v>0</v>
      </c>
      <c r="AP71" s="27">
        <f>AP31*AP64*'Model Inputs'!$B$289*'Sensitivities 2P'!$B$10</f>
        <v>0</v>
      </c>
      <c r="AQ71" s="27">
        <f>AQ31*AQ64*'Model Inputs'!$B$289*'Sensitivities 2P'!$B$10</f>
        <v>0</v>
      </c>
      <c r="AR71" s="27">
        <f>AR31*AR64*'Model Inputs'!$B$289*'Sensitivities 2P'!$B$10</f>
        <v>0</v>
      </c>
      <c r="AS71" s="27">
        <f>AS31*AS64*'Model Inputs'!$B$289*'Sensitivities 2P'!$B$10</f>
        <v>0</v>
      </c>
      <c r="AT71" s="27">
        <f>AT31*AT64*'Model Inputs'!$B$289*'Sensitivities 2P'!$B$10</f>
        <v>0</v>
      </c>
      <c r="AU71" s="27">
        <f>AU31*AU64*'Model Inputs'!$B$289*'Sensitivities 2P'!$B$10</f>
        <v>0</v>
      </c>
      <c r="AV71" s="27">
        <f>AV31*AV64*'Model Inputs'!$B$289*'Sensitivities 2P'!$B$10</f>
        <v>0</v>
      </c>
      <c r="AW71" s="27">
        <f>AW31*AW64*'Model Inputs'!$B$289*'Sensitivities 2P'!$B$10</f>
        <v>0</v>
      </c>
      <c r="AX71" s="27">
        <f>AX31*AX64*'Model Inputs'!$B$289*'Sensitivities 2P'!$B$10</f>
        <v>0</v>
      </c>
      <c r="AY71" s="27">
        <f>AY31*AY64*'Model Inputs'!$B$289*'Sensitivities 2P'!$B$10</f>
        <v>0</v>
      </c>
      <c r="AZ71" s="27">
        <f>AZ31*AZ64*'Model Inputs'!$B$289*'Sensitivities 2P'!$B$10</f>
        <v>0</v>
      </c>
      <c r="BA71" s="27">
        <f>BA31*BA64*'Model Inputs'!$B$289*'Sensitivities 2P'!$B$10</f>
        <v>0</v>
      </c>
      <c r="BB71" s="27">
        <f>BB31*BB64*'Model Inputs'!$B$289*'Sensitivities 2P'!$B$10</f>
        <v>0</v>
      </c>
      <c r="BC71" s="27">
        <f>BC31*BC64*'Model Inputs'!$B$289*'Sensitivities 2P'!$B$10</f>
        <v>0</v>
      </c>
      <c r="BD71" s="27">
        <f>BD31*BD64*'Model Inputs'!$B$289*'Sensitivities 2P'!$B$10</f>
        <v>0</v>
      </c>
      <c r="BE71" s="27">
        <f>BE31*BE64*'Model Inputs'!$B$289*'Sensitivities 2P'!$B$10</f>
        <v>0</v>
      </c>
      <c r="BF71" s="27">
        <f>BF31*BF64*'Model Inputs'!$B$289*'Sensitivities 2P'!$B$10</f>
        <v>0</v>
      </c>
      <c r="BG71" s="27">
        <f>BG31*BG64*'Model Inputs'!$B$289*'Sensitivities 2P'!$B$10</f>
        <v>0</v>
      </c>
      <c r="BH71" s="27">
        <f>BH31*BH64*'Model Inputs'!$B$289*'Sensitivities 2P'!$B$10</f>
        <v>0</v>
      </c>
      <c r="BI71" s="27">
        <f>BI31*BI64*'Model Inputs'!$B$289*'Sensitivities 2P'!$B$10</f>
        <v>0</v>
      </c>
      <c r="BJ71" s="27">
        <f>BJ31*BJ64*'Model Inputs'!$B$289*'Sensitivities 2P'!$B$10</f>
        <v>0</v>
      </c>
      <c r="BK71" s="27">
        <f>BK31*BK64*'Model Inputs'!$B$289*'Sensitivities 2P'!$B$10</f>
        <v>0</v>
      </c>
      <c r="BL71" s="27">
        <f>BL31*BL64*'Model Inputs'!$B$289*'Sensitivities 2P'!$B$10</f>
        <v>0</v>
      </c>
      <c r="BM71" s="27">
        <f>BM31*BM64*'Model Inputs'!$B$289*'Sensitivities 2P'!$B$10</f>
        <v>0</v>
      </c>
      <c r="BN71" s="27">
        <f>BN31*BN64*'Model Inputs'!$B$289*'Sensitivities 2P'!$B$10</f>
        <v>0</v>
      </c>
      <c r="BO71" s="27">
        <f>BO31*BO64*'Model Inputs'!$B$289*'Sensitivities 2P'!$B$10</f>
        <v>0</v>
      </c>
    </row>
    <row r="72" spans="1:67" ht="15" customHeight="1" x14ac:dyDescent="0.2">
      <c r="A72" s="14" t="s">
        <v>214</v>
      </c>
      <c r="B72" s="68">
        <f t="shared" si="33"/>
        <v>208089.34362496313</v>
      </c>
      <c r="C72" s="27">
        <f>C32*C64*'Model Inputs'!$B$289*'Sensitivities 2P'!$B$10</f>
        <v>3891.9901965973008</v>
      </c>
      <c r="D72" s="27">
        <f>D32*D64*'Model Inputs'!$B$289*'Sensitivities 2P'!$B$10</f>
        <v>3969.8300005292467</v>
      </c>
      <c r="E72" s="27">
        <f>E32*E64*'Model Inputs'!$B$289*'Sensitivities 2P'!$B$10</f>
        <v>4049.2266005398319</v>
      </c>
      <c r="F72" s="27">
        <f>F32*F64*'Model Inputs'!$B$289*'Sensitivities 2P'!$B$10</f>
        <v>4130.2111325506276</v>
      </c>
      <c r="G72" s="27">
        <f>G32*G64*'Model Inputs'!$B$289*'Sensitivities 2P'!$B$10</f>
        <v>4212.8153552016411</v>
      </c>
      <c r="H72" s="27">
        <f>H32*H64*'Model Inputs'!$B$289*'Sensitivities 2P'!$B$10</f>
        <v>4297.0716623056733</v>
      </c>
      <c r="I72" s="27">
        <f>I32*I64*'Model Inputs'!$B$289*'Sensitivities 2P'!$B$10</f>
        <v>4383.013095551787</v>
      </c>
      <c r="J72" s="27">
        <f>J32*J64*'Model Inputs'!$B$289*'Sensitivities 2P'!$B$10</f>
        <v>4470.6733574628233</v>
      </c>
      <c r="K72" s="27">
        <f>K32*K64*'Model Inputs'!$B$289*'Sensitivities 2P'!$B$10</f>
        <v>4560.0868246120799</v>
      </c>
      <c r="L72" s="27">
        <f>L32*L64*'Model Inputs'!$B$289*'Sensitivities 2P'!$B$10</f>
        <v>4651.2885611043212</v>
      </c>
      <c r="M72" s="27">
        <f>M32*M64*'Model Inputs'!$B$289*'Sensitivities 2P'!$B$10</f>
        <v>4744.3143323264076</v>
      </c>
      <c r="N72" s="27">
        <f>N32*N64*'Model Inputs'!$B$289*'Sensitivities 2P'!$B$10</f>
        <v>4839.2006189729354</v>
      </c>
      <c r="O72" s="27">
        <f>O32*O64*'Model Inputs'!$B$289*'Sensitivities 2P'!$B$10</f>
        <v>4935.9846313523949</v>
      </c>
      <c r="P72" s="27">
        <f>P32*P64*'Model Inputs'!$B$289*'Sensitivities 2P'!$B$10</f>
        <v>5034.7043239794421</v>
      </c>
      <c r="Q72" s="27">
        <f>Q32*Q64*'Model Inputs'!$B$289*'Sensitivities 2P'!$B$10</f>
        <v>5135.3984104590318</v>
      </c>
      <c r="R72" s="27">
        <f>R32*R64*'Model Inputs'!$B$289*'Sensitivities 2P'!$B$10</f>
        <v>5238.1063786682125</v>
      </c>
      <c r="S72" s="27">
        <f>S32*S64*'Model Inputs'!$B$289*'Sensitivities 2P'!$B$10</f>
        <v>5342.8685062415771</v>
      </c>
      <c r="T72" s="27">
        <f>T32*T64*'Model Inputs'!$B$289*'Sensitivities 2P'!$B$10</f>
        <v>5449.7258763664086</v>
      </c>
      <c r="U72" s="27">
        <f>U32*U64*'Model Inputs'!$B$289*'Sensitivities 2P'!$B$10</f>
        <v>5558.7203938937373</v>
      </c>
      <c r="V72" s="27">
        <f>V32*V64*'Model Inputs'!$B$289*'Sensitivities 2P'!$B$10</f>
        <v>5669.894801771612</v>
      </c>
      <c r="W72" s="27">
        <f>W32*W64*'Model Inputs'!$B$289*'Sensitivities 2P'!$B$10</f>
        <v>5783.2926978070445</v>
      </c>
      <c r="X72" s="27">
        <f>X32*X64*'Model Inputs'!$B$289*'Sensitivities 2P'!$B$10</f>
        <v>5898.9585517631858</v>
      </c>
      <c r="Y72" s="27">
        <f>Y32*Y64*'Model Inputs'!$B$289*'Sensitivities 2P'!$B$10</f>
        <v>6016.9377227984505</v>
      </c>
      <c r="Z72" s="27">
        <f>Z32*Z64*'Model Inputs'!$B$289*'Sensitivities 2P'!$B$10</f>
        <v>6137.2764772544178</v>
      </c>
      <c r="AA72" s="27">
        <f>AA32*AA64*'Model Inputs'!$B$289*'Sensitivities 2P'!$B$10</f>
        <v>6260.0220067995069</v>
      </c>
      <c r="AB72" s="27">
        <f>AB32*AB64*'Model Inputs'!$B$289*'Sensitivities 2P'!$B$10</f>
        <v>6385.2224469354978</v>
      </c>
      <c r="AC72" s="27">
        <f>AC32*AC64*'Model Inputs'!$B$289*'Sensitivities 2P'!$B$10</f>
        <v>6512.9268958742068</v>
      </c>
      <c r="AD72" s="27">
        <f>AD32*AD64*'Model Inputs'!$B$289*'Sensitivities 2P'!$B$10</f>
        <v>6643.1854337916911</v>
      </c>
      <c r="AE72" s="27">
        <f>AE32*AE64*'Model Inputs'!$B$289*'Sensitivities 2P'!$B$10</f>
        <v>6776.0491424675256</v>
      </c>
      <c r="AF72" s="27">
        <f>AF32*AF64*'Model Inputs'!$B$289*'Sensitivities 2P'!$B$10</f>
        <v>6911.5701253168754</v>
      </c>
      <c r="AG72" s="27">
        <f>AG32*AG64*'Model Inputs'!$B$289*'Sensitivities 2P'!$B$10</f>
        <v>7049.8015278232133</v>
      </c>
      <c r="AH72" s="27">
        <f>AH32*AH64*'Model Inputs'!$B$289*'Sensitivities 2P'!$B$10</f>
        <v>7190.7975583796788</v>
      </c>
      <c r="AI72" s="27">
        <f>AI32*AI64*'Model Inputs'!$B$289*'Sensitivities 2P'!$B$10</f>
        <v>7334.6135095472719</v>
      </c>
      <c r="AJ72" s="27">
        <f>AJ32*AJ64*'Model Inputs'!$B$289*'Sensitivities 2P'!$B$10</f>
        <v>7481.305779738218</v>
      </c>
      <c r="AK72" s="27">
        <f>AK32*AK64*'Model Inputs'!$B$289*'Sensitivities 2P'!$B$10</f>
        <v>7630.9318953329821</v>
      </c>
      <c r="AL72" s="27">
        <f>AL32*AL64*'Model Inputs'!$B$289*'Sensitivities 2P'!$B$10</f>
        <v>7783.5505332396415</v>
      </c>
      <c r="AM72" s="27">
        <f>AM32*AM64*'Model Inputs'!$B$289*'Sensitivities 2P'!$B$10</f>
        <v>5727.7762596066177</v>
      </c>
      <c r="AN72" s="27">
        <f>AN32*AN64*'Model Inputs'!$B$289*'Sensitivities 2P'!$B$10</f>
        <v>0</v>
      </c>
      <c r="AO72" s="27">
        <f>AO32*AO64*'Model Inputs'!$B$289*'Sensitivities 2P'!$B$10</f>
        <v>0</v>
      </c>
      <c r="AP72" s="27">
        <f>AP32*AP64*'Model Inputs'!$B$289*'Sensitivities 2P'!$B$10</f>
        <v>0</v>
      </c>
      <c r="AQ72" s="27">
        <f>AQ32*AQ64*'Model Inputs'!$B$289*'Sensitivities 2P'!$B$10</f>
        <v>0</v>
      </c>
      <c r="AR72" s="27">
        <f>AR32*AR64*'Model Inputs'!$B$289*'Sensitivities 2P'!$B$10</f>
        <v>0</v>
      </c>
      <c r="AS72" s="27">
        <f>AS32*AS64*'Model Inputs'!$B$289*'Sensitivities 2P'!$B$10</f>
        <v>0</v>
      </c>
      <c r="AT72" s="27">
        <f>AT32*AT64*'Model Inputs'!$B$289*'Sensitivities 2P'!$B$10</f>
        <v>0</v>
      </c>
      <c r="AU72" s="27">
        <f>AU32*AU64*'Model Inputs'!$B$289*'Sensitivities 2P'!$B$10</f>
        <v>0</v>
      </c>
      <c r="AV72" s="27">
        <f>AV32*AV64*'Model Inputs'!$B$289*'Sensitivities 2P'!$B$10</f>
        <v>0</v>
      </c>
      <c r="AW72" s="27">
        <f>AW32*AW64*'Model Inputs'!$B$289*'Sensitivities 2P'!$B$10</f>
        <v>0</v>
      </c>
      <c r="AX72" s="27">
        <f>AX32*AX64*'Model Inputs'!$B$289*'Sensitivities 2P'!$B$10</f>
        <v>0</v>
      </c>
      <c r="AY72" s="27">
        <f>AY32*AY64*'Model Inputs'!$B$289*'Sensitivities 2P'!$B$10</f>
        <v>0</v>
      </c>
      <c r="AZ72" s="27">
        <f>AZ32*AZ64*'Model Inputs'!$B$289*'Sensitivities 2P'!$B$10</f>
        <v>0</v>
      </c>
      <c r="BA72" s="27">
        <f>BA32*BA64*'Model Inputs'!$B$289*'Sensitivities 2P'!$B$10</f>
        <v>0</v>
      </c>
      <c r="BB72" s="27">
        <f>BB32*BB64*'Model Inputs'!$B$289*'Sensitivities 2P'!$B$10</f>
        <v>0</v>
      </c>
      <c r="BC72" s="27">
        <f>BC32*BC64*'Model Inputs'!$B$289*'Sensitivities 2P'!$B$10</f>
        <v>0</v>
      </c>
      <c r="BD72" s="27">
        <f>BD32*BD64*'Model Inputs'!$B$289*'Sensitivities 2P'!$B$10</f>
        <v>0</v>
      </c>
      <c r="BE72" s="27">
        <f>BE32*BE64*'Model Inputs'!$B$289*'Sensitivities 2P'!$B$10</f>
        <v>0</v>
      </c>
      <c r="BF72" s="27">
        <f>BF32*BF64*'Model Inputs'!$B$289*'Sensitivities 2P'!$B$10</f>
        <v>0</v>
      </c>
      <c r="BG72" s="27">
        <f>BG32*BG64*'Model Inputs'!$B$289*'Sensitivities 2P'!$B$10</f>
        <v>0</v>
      </c>
      <c r="BH72" s="27">
        <f>BH32*BH64*'Model Inputs'!$B$289*'Sensitivities 2P'!$B$10</f>
        <v>0</v>
      </c>
      <c r="BI72" s="27">
        <f>BI32*BI64*'Model Inputs'!$B$289*'Sensitivities 2P'!$B$10</f>
        <v>0</v>
      </c>
      <c r="BJ72" s="27">
        <f>BJ32*BJ64*'Model Inputs'!$B$289*'Sensitivities 2P'!$B$10</f>
        <v>0</v>
      </c>
      <c r="BK72" s="27">
        <f>BK32*BK64*'Model Inputs'!$B$289*'Sensitivities 2P'!$B$10</f>
        <v>0</v>
      </c>
      <c r="BL72" s="27">
        <f>BL32*BL64*'Model Inputs'!$B$289*'Sensitivities 2P'!$B$10</f>
        <v>0</v>
      </c>
      <c r="BM72" s="27">
        <f>BM32*BM64*'Model Inputs'!$B$289*'Sensitivities 2P'!$B$10</f>
        <v>0</v>
      </c>
      <c r="BN72" s="27">
        <f>BN32*BN64*'Model Inputs'!$B$289*'Sensitivities 2P'!$B$10</f>
        <v>0</v>
      </c>
      <c r="BO72" s="27">
        <f>BO32*BO64*'Model Inputs'!$B$289*'Sensitivities 2P'!$B$10</f>
        <v>0</v>
      </c>
    </row>
    <row r="73" spans="1:67" ht="15" customHeight="1" x14ac:dyDescent="0.2">
      <c r="A73" s="14" t="s">
        <v>215</v>
      </c>
      <c r="B73" s="68">
        <f t="shared" si="33"/>
        <v>30028.964969212848</v>
      </c>
      <c r="C73" s="27">
        <f>C33*C64*'Model Inputs'!$B$289*'Sensitivities 2P'!$B$10</f>
        <v>811.28479961426387</v>
      </c>
      <c r="D73" s="27">
        <f>D33*D64*'Model Inputs'!$B$289*'Sensitivities 2P'!$B$10</f>
        <v>827.51049560654928</v>
      </c>
      <c r="E73" s="27">
        <f>E33*E64*'Model Inputs'!$B$289*'Sensitivities 2P'!$B$10</f>
        <v>844.06070551868015</v>
      </c>
      <c r="F73" s="27">
        <f>F33*F64*'Model Inputs'!$B$289*'Sensitivities 2P'!$B$10</f>
        <v>860.9419196290537</v>
      </c>
      <c r="G73" s="27">
        <f>G33*G64*'Model Inputs'!$B$289*'Sensitivities 2P'!$B$10</f>
        <v>878.16075802163493</v>
      </c>
      <c r="H73" s="27">
        <f>H33*H64*'Model Inputs'!$B$289*'Sensitivities 2P'!$B$10</f>
        <v>895.72397318206765</v>
      </c>
      <c r="I73" s="27">
        <f>I33*I64*'Model Inputs'!$B$289*'Sensitivities 2P'!$B$10</f>
        <v>913.63845264570898</v>
      </c>
      <c r="J73" s="27">
        <f>J33*J64*'Model Inputs'!$B$289*'Sensitivities 2P'!$B$10</f>
        <v>931.91122169862308</v>
      </c>
      <c r="K73" s="27">
        <f>K33*K64*'Model Inputs'!$B$289*'Sensitivities 2P'!$B$10</f>
        <v>950.54944613259556</v>
      </c>
      <c r="L73" s="27">
        <f>L33*L64*'Model Inputs'!$B$289*'Sensitivities 2P'!$B$10</f>
        <v>969.56043505524758</v>
      </c>
      <c r="M73" s="27">
        <f>M33*M64*'Model Inputs'!$B$289*'Sensitivities 2P'!$B$10</f>
        <v>988.9516437563525</v>
      </c>
      <c r="N73" s="27">
        <f>N33*N64*'Model Inputs'!$B$289*'Sensitivities 2P'!$B$10</f>
        <v>1008.7306766314796</v>
      </c>
      <c r="O73" s="27">
        <f>O33*O64*'Model Inputs'!$B$289*'Sensitivities 2P'!$B$10</f>
        <v>1028.9052901641091</v>
      </c>
      <c r="P73" s="27">
        <f>P33*P64*'Model Inputs'!$B$289*'Sensitivities 2P'!$B$10</f>
        <v>1049.4833959673913</v>
      </c>
      <c r="Q73" s="27">
        <f>Q33*Q64*'Model Inputs'!$B$289*'Sensitivities 2P'!$B$10</f>
        <v>1070.4730638867393</v>
      </c>
      <c r="R73" s="27">
        <f>R33*R64*'Model Inputs'!$B$289*'Sensitivities 2P'!$B$10</f>
        <v>1091.8825251644739</v>
      </c>
      <c r="S73" s="27">
        <f>S33*S64*'Model Inputs'!$B$289*'Sensitivities 2P'!$B$10</f>
        <v>1113.7201756677634</v>
      </c>
      <c r="T73" s="27">
        <f>T33*T64*'Model Inputs'!$B$289*'Sensitivities 2P'!$B$10</f>
        <v>1135.994579181119</v>
      </c>
      <c r="U73" s="27">
        <f>U33*U64*'Model Inputs'!$B$289*'Sensitivities 2P'!$B$10</f>
        <v>1158.7144707647415</v>
      </c>
      <c r="V73" s="27">
        <f>V33*V64*'Model Inputs'!$B$289*'Sensitivities 2P'!$B$10</f>
        <v>1181.8887601800361</v>
      </c>
      <c r="W73" s="27">
        <f>W33*W64*'Model Inputs'!$B$289*'Sensitivities 2P'!$B$10</f>
        <v>1205.5265353836371</v>
      </c>
      <c r="X73" s="27">
        <f>X33*X64*'Model Inputs'!$B$289*'Sensitivities 2P'!$B$10</f>
        <v>1229.6370660913096</v>
      </c>
      <c r="Y73" s="27">
        <f>Y33*Y64*'Model Inputs'!$B$289*'Sensitivities 2P'!$B$10</f>
        <v>1254.2298074131361</v>
      </c>
      <c r="Z73" s="27">
        <f>Z33*Z64*'Model Inputs'!$B$289*'Sensitivities 2P'!$B$10</f>
        <v>1279.3144035613986</v>
      </c>
      <c r="AA73" s="27">
        <f>AA33*AA64*'Model Inputs'!$B$289*'Sensitivities 2P'!$B$10</f>
        <v>1304.9006916326266</v>
      </c>
      <c r="AB73" s="27">
        <f>AB33*AB64*'Model Inputs'!$B$289*'Sensitivities 2P'!$B$10</f>
        <v>1330.998705465279</v>
      </c>
      <c r="AC73" s="27">
        <f>AC33*AC64*'Model Inputs'!$B$289*'Sensitivities 2P'!$B$10</f>
        <v>1357.6186795745848</v>
      </c>
      <c r="AD73" s="27">
        <f>AD33*AD64*'Model Inputs'!$B$289*'Sensitivities 2P'!$B$10</f>
        <v>1354.6522916222486</v>
      </c>
      <c r="AE73" s="27">
        <f>AE33*AE64*'Model Inputs'!$B$289*'Sensitivities 2P'!$B$10</f>
        <v>0</v>
      </c>
      <c r="AF73" s="27">
        <f>AF33*AF64*'Model Inputs'!$B$289*'Sensitivities 2P'!$B$10</f>
        <v>0</v>
      </c>
      <c r="AG73" s="27">
        <f>AG33*AG64*'Model Inputs'!$B$289*'Sensitivities 2P'!$B$10</f>
        <v>0</v>
      </c>
      <c r="AH73" s="27">
        <f>AH33*AH64*'Model Inputs'!$B$289*'Sensitivities 2P'!$B$10</f>
        <v>0</v>
      </c>
      <c r="AI73" s="27">
        <f>AI33*AI64*'Model Inputs'!$B$289*'Sensitivities 2P'!$B$10</f>
        <v>0</v>
      </c>
      <c r="AJ73" s="27">
        <f>AJ33*AJ64*'Model Inputs'!$B$289*'Sensitivities 2P'!$B$10</f>
        <v>0</v>
      </c>
      <c r="AK73" s="27">
        <f>AK33*AK64*'Model Inputs'!$B$289*'Sensitivities 2P'!$B$10</f>
        <v>0</v>
      </c>
      <c r="AL73" s="27">
        <f>AL33*AL64*'Model Inputs'!$B$289*'Sensitivities 2P'!$B$10</f>
        <v>0</v>
      </c>
      <c r="AM73" s="27">
        <f>AM33*AM64*'Model Inputs'!$B$289*'Sensitivities 2P'!$B$10</f>
        <v>0</v>
      </c>
      <c r="AN73" s="27">
        <f>AN33*AN64*'Model Inputs'!$B$289*'Sensitivities 2P'!$B$10</f>
        <v>0</v>
      </c>
      <c r="AO73" s="27">
        <f>AO33*AO64*'Model Inputs'!$B$289*'Sensitivities 2P'!$B$10</f>
        <v>0</v>
      </c>
      <c r="AP73" s="27">
        <f>AP33*AP64*'Model Inputs'!$B$289*'Sensitivities 2P'!$B$10</f>
        <v>0</v>
      </c>
      <c r="AQ73" s="27">
        <f>AQ33*AQ64*'Model Inputs'!$B$289*'Sensitivities 2P'!$B$10</f>
        <v>0</v>
      </c>
      <c r="AR73" s="27">
        <f>AR33*AR64*'Model Inputs'!$B$289*'Sensitivities 2P'!$B$10</f>
        <v>0</v>
      </c>
      <c r="AS73" s="27">
        <f>AS33*AS64*'Model Inputs'!$B$289*'Sensitivities 2P'!$B$10</f>
        <v>0</v>
      </c>
      <c r="AT73" s="27">
        <f>AT33*AT64*'Model Inputs'!$B$289*'Sensitivities 2P'!$B$10</f>
        <v>0</v>
      </c>
      <c r="AU73" s="27">
        <f>AU33*AU64*'Model Inputs'!$B$289*'Sensitivities 2P'!$B$10</f>
        <v>0</v>
      </c>
      <c r="AV73" s="27">
        <f>AV33*AV64*'Model Inputs'!$B$289*'Sensitivities 2P'!$B$10</f>
        <v>0</v>
      </c>
      <c r="AW73" s="27">
        <f>AW33*AW64*'Model Inputs'!$B$289*'Sensitivities 2P'!$B$10</f>
        <v>0</v>
      </c>
      <c r="AX73" s="27">
        <f>AX33*AX64*'Model Inputs'!$B$289*'Sensitivities 2P'!$B$10</f>
        <v>0</v>
      </c>
      <c r="AY73" s="27">
        <f>AY33*AY64*'Model Inputs'!$B$289*'Sensitivities 2P'!$B$10</f>
        <v>0</v>
      </c>
      <c r="AZ73" s="27">
        <f>AZ33*AZ64*'Model Inputs'!$B$289*'Sensitivities 2P'!$B$10</f>
        <v>0</v>
      </c>
      <c r="BA73" s="27">
        <f>BA33*BA64*'Model Inputs'!$B$289*'Sensitivities 2P'!$B$10</f>
        <v>0</v>
      </c>
      <c r="BB73" s="27">
        <f>BB33*BB64*'Model Inputs'!$B$289*'Sensitivities 2P'!$B$10</f>
        <v>0</v>
      </c>
      <c r="BC73" s="27">
        <f>BC33*BC64*'Model Inputs'!$B$289*'Sensitivities 2P'!$B$10</f>
        <v>0</v>
      </c>
      <c r="BD73" s="27">
        <f>BD33*BD64*'Model Inputs'!$B$289*'Sensitivities 2P'!$B$10</f>
        <v>0</v>
      </c>
      <c r="BE73" s="27">
        <f>BE33*BE64*'Model Inputs'!$B$289*'Sensitivities 2P'!$B$10</f>
        <v>0</v>
      </c>
      <c r="BF73" s="27">
        <f>BF33*BF64*'Model Inputs'!$B$289*'Sensitivities 2P'!$B$10</f>
        <v>0</v>
      </c>
      <c r="BG73" s="27">
        <f>BG33*BG64*'Model Inputs'!$B$289*'Sensitivities 2P'!$B$10</f>
        <v>0</v>
      </c>
      <c r="BH73" s="27">
        <f>BH33*BH64*'Model Inputs'!$B$289*'Sensitivities 2P'!$B$10</f>
        <v>0</v>
      </c>
      <c r="BI73" s="27">
        <f>BI33*BI64*'Model Inputs'!$B$289*'Sensitivities 2P'!$B$10</f>
        <v>0</v>
      </c>
      <c r="BJ73" s="27">
        <f>BJ33*BJ64*'Model Inputs'!$B$289*'Sensitivities 2P'!$B$10</f>
        <v>0</v>
      </c>
      <c r="BK73" s="27">
        <f>BK33*BK64*'Model Inputs'!$B$289*'Sensitivities 2P'!$B$10</f>
        <v>0</v>
      </c>
      <c r="BL73" s="27">
        <f>BL33*BL64*'Model Inputs'!$B$289*'Sensitivities 2P'!$B$10</f>
        <v>0</v>
      </c>
      <c r="BM73" s="27">
        <f>BM33*BM64*'Model Inputs'!$B$289*'Sensitivities 2P'!$B$10</f>
        <v>0</v>
      </c>
      <c r="BN73" s="27">
        <f>BN33*BN64*'Model Inputs'!$B$289*'Sensitivities 2P'!$B$10</f>
        <v>0</v>
      </c>
      <c r="BO73" s="27">
        <f>BO33*BO64*'Model Inputs'!$B$289*'Sensitivities 2P'!$B$10</f>
        <v>0</v>
      </c>
    </row>
    <row r="74" spans="1:67" ht="15" customHeight="1" x14ac:dyDescent="0.2">
      <c r="A74" s="14" t="s">
        <v>216</v>
      </c>
      <c r="B74" s="68">
        <f t="shared" si="33"/>
        <v>114664.24597990175</v>
      </c>
      <c r="C74" s="27">
        <f>C34/6*C64*'Model Inputs'!$B$289*'Sensitivities 2P'!$B$10</f>
        <v>3097.854352226238</v>
      </c>
      <c r="D74" s="27">
        <f>D34/6*D64*'Model Inputs'!$B$289*'Sensitivities 2P'!$B$10</f>
        <v>3159.8114392707625</v>
      </c>
      <c r="E74" s="27">
        <f>E34/6*E64*'Model Inputs'!$B$289*'Sensitivities 2P'!$B$10</f>
        <v>3223.0076680561779</v>
      </c>
      <c r="F74" s="27">
        <f>F34/6*F64*'Model Inputs'!$B$289*'Sensitivities 2P'!$B$10</f>
        <v>3287.4678214173014</v>
      </c>
      <c r="G74" s="27">
        <f>G34/6*G64*'Model Inputs'!$B$289*'Sensitivities 2P'!$B$10</f>
        <v>3353.2171778456473</v>
      </c>
      <c r="H74" s="27">
        <f>H34/6*H64*'Model Inputs'!$B$289*'Sensitivities 2P'!$B$10</f>
        <v>3420.2815214025604</v>
      </c>
      <c r="I74" s="27">
        <f>I34/6*I64*'Model Inputs'!$B$289*'Sensitivities 2P'!$B$10</f>
        <v>3488.6871518306116</v>
      </c>
      <c r="J74" s="27">
        <f>J34/6*J64*'Model Inputs'!$B$289*'Sensitivities 2P'!$B$10</f>
        <v>3558.4608948672244</v>
      </c>
      <c r="K74" s="27">
        <f>K34/6*K64*'Model Inputs'!$B$289*'Sensitivities 2P'!$B$10</f>
        <v>3629.6301127645688</v>
      </c>
      <c r="L74" s="27">
        <f>L34/6*L64*'Model Inputs'!$B$289*'Sensitivities 2P'!$B$10</f>
        <v>3702.2227150198601</v>
      </c>
      <c r="M74" s="27">
        <f>M34/6*M64*'Model Inputs'!$B$289*'Sensitivities 2P'!$B$10</f>
        <v>3776.2671693202574</v>
      </c>
      <c r="N74" s="27">
        <f>N34/6*N64*'Model Inputs'!$B$289*'Sensitivities 2P'!$B$10</f>
        <v>3851.7925127066628</v>
      </c>
      <c r="O74" s="27">
        <f>O34/6*O64*'Model Inputs'!$B$289*'Sensitivities 2P'!$B$10</f>
        <v>3928.8283629607954</v>
      </c>
      <c r="P74" s="27">
        <f>P34/6*P64*'Model Inputs'!$B$289*'Sensitivities 2P'!$B$10</f>
        <v>4007.4049302200115</v>
      </c>
      <c r="Q74" s="27">
        <f>Q34/6*Q64*'Model Inputs'!$B$289*'Sensitivities 2P'!$B$10</f>
        <v>4087.5530288244117</v>
      </c>
      <c r="R74" s="27">
        <f>R34/6*R64*'Model Inputs'!$B$289*'Sensitivities 2P'!$B$10</f>
        <v>4169.3040894009009</v>
      </c>
      <c r="S74" s="27">
        <f>S34/6*S64*'Model Inputs'!$B$289*'Sensitivities 2P'!$B$10</f>
        <v>4252.6901711889186</v>
      </c>
      <c r="T74" s="27">
        <f>T34/6*T64*'Model Inputs'!$B$289*'Sensitivities 2P'!$B$10</f>
        <v>4337.7439746126975</v>
      </c>
      <c r="U74" s="27">
        <f>U34/6*U64*'Model Inputs'!$B$289*'Sensitivities 2P'!$B$10</f>
        <v>4424.4988541049515</v>
      </c>
      <c r="V74" s="27">
        <f>V34/6*V64*'Model Inputs'!$B$289*'Sensitivities 2P'!$B$10</f>
        <v>4512.98883118705</v>
      </c>
      <c r="W74" s="27">
        <f>W34/6*W64*'Model Inputs'!$B$289*'Sensitivities 2P'!$B$10</f>
        <v>4603.2486078107913</v>
      </c>
      <c r="X74" s="27">
        <f>X34/6*X64*'Model Inputs'!$B$289*'Sensitivities 2P'!$B$10</f>
        <v>4695.3135799670081</v>
      </c>
      <c r="Y74" s="27">
        <f>Y34/6*Y64*'Model Inputs'!$B$289*'Sensitivities 2P'!$B$10</f>
        <v>4789.2198515663476</v>
      </c>
      <c r="Z74" s="27">
        <f>Z34/6*Z64*'Model Inputs'!$B$289*'Sensitivities 2P'!$B$10</f>
        <v>4885.0042485976755</v>
      </c>
      <c r="AA74" s="27">
        <f>AA34/6*AA64*'Model Inputs'!$B$289*'Sensitivities 2P'!$B$10</f>
        <v>4982.704333569628</v>
      </c>
      <c r="AB74" s="27">
        <f>AB34/6*AB64*'Model Inputs'!$B$289*'Sensitivities 2P'!$B$10</f>
        <v>5082.3584202410211</v>
      </c>
      <c r="AC74" s="27">
        <f>AC34/6*AC64*'Model Inputs'!$B$289*'Sensitivities 2P'!$B$10</f>
        <v>5184.0055886458413</v>
      </c>
      <c r="AD74" s="27">
        <f>AD34/6*AD64*'Model Inputs'!$B$289*'Sensitivities 2P'!$B$10</f>
        <v>5172.678570275837</v>
      </c>
      <c r="AE74" s="27">
        <f>AE34/6*AE64*'Model Inputs'!$B$289*'Sensitivities 2P'!$B$10</f>
        <v>0</v>
      </c>
      <c r="AF74" s="27">
        <f>AF34/6*AF64*'Model Inputs'!$B$289*'Sensitivities 2P'!$B$10</f>
        <v>0</v>
      </c>
      <c r="AG74" s="27">
        <f>AG34/6*AG64*'Model Inputs'!$B$289*'Sensitivities 2P'!$B$10</f>
        <v>0</v>
      </c>
      <c r="AH74" s="27">
        <f>AH34/6*AH64*'Model Inputs'!$B$289*'Sensitivities 2P'!$B$10</f>
        <v>0</v>
      </c>
      <c r="AI74" s="27">
        <f>AI34/6*AI64*'Model Inputs'!$B$289*'Sensitivities 2P'!$B$10</f>
        <v>0</v>
      </c>
      <c r="AJ74" s="27">
        <f>AJ34/6*AJ64*'Model Inputs'!$B$289*'Sensitivities 2P'!$B$10</f>
        <v>0</v>
      </c>
      <c r="AK74" s="27">
        <f>AK34/6*AK64*'Model Inputs'!$B$289*'Sensitivities 2P'!$B$10</f>
        <v>0</v>
      </c>
      <c r="AL74" s="27">
        <f>AL34/6*AL64*'Model Inputs'!$B$289*'Sensitivities 2P'!$B$10</f>
        <v>0</v>
      </c>
      <c r="AM74" s="27">
        <f>AM34/6*AM64*'Model Inputs'!$B$289*'Sensitivities 2P'!$B$10</f>
        <v>0</v>
      </c>
      <c r="AN74" s="27">
        <f>AN34/6*AN64*'Model Inputs'!$B$289*'Sensitivities 2P'!$B$10</f>
        <v>0</v>
      </c>
      <c r="AO74" s="27">
        <f>AO34/6*AO64*'Model Inputs'!$B$289*'Sensitivities 2P'!$B$10</f>
        <v>0</v>
      </c>
      <c r="AP74" s="27">
        <f>AP34/6*AP64*'Model Inputs'!$B$289*'Sensitivities 2P'!$B$10</f>
        <v>0</v>
      </c>
      <c r="AQ74" s="27">
        <f>AQ34/6*AQ64*'Model Inputs'!$B$289*'Sensitivities 2P'!$B$10</f>
        <v>0</v>
      </c>
      <c r="AR74" s="27">
        <f>AR34/6*AR64*'Model Inputs'!$B$289*'Sensitivities 2P'!$B$10</f>
        <v>0</v>
      </c>
      <c r="AS74" s="27">
        <f>AS34/6*AS64*'Model Inputs'!$B$289*'Sensitivities 2P'!$B$10</f>
        <v>0</v>
      </c>
      <c r="AT74" s="27">
        <f>AT34/6*AT64*'Model Inputs'!$B$289*'Sensitivities 2P'!$B$10</f>
        <v>0</v>
      </c>
      <c r="AU74" s="27">
        <f>AU34/6*AU64*'Model Inputs'!$B$289*'Sensitivities 2P'!$B$10</f>
        <v>0</v>
      </c>
      <c r="AV74" s="27">
        <f>AV34/6*AV64*'Model Inputs'!$B$289*'Sensitivities 2P'!$B$10</f>
        <v>0</v>
      </c>
      <c r="AW74" s="27">
        <f>AW34/6*AW64*'Model Inputs'!$B$289*'Sensitivities 2P'!$B$10</f>
        <v>0</v>
      </c>
      <c r="AX74" s="27">
        <f>AX34/6*AX64*'Model Inputs'!$B$289*'Sensitivities 2P'!$B$10</f>
        <v>0</v>
      </c>
      <c r="AY74" s="27">
        <f>AY34/6*AY64*'Model Inputs'!$B$289*'Sensitivities 2P'!$B$10</f>
        <v>0</v>
      </c>
      <c r="AZ74" s="27">
        <f>AZ34/6*AZ64*'Model Inputs'!$B$289*'Sensitivities 2P'!$B$10</f>
        <v>0</v>
      </c>
      <c r="BA74" s="27">
        <f>BA34/6*BA64*'Model Inputs'!$B$289*'Sensitivities 2P'!$B$10</f>
        <v>0</v>
      </c>
      <c r="BB74" s="27">
        <f>BB34/6*BB64*'Model Inputs'!$B$289*'Sensitivities 2P'!$B$10</f>
        <v>0</v>
      </c>
      <c r="BC74" s="27">
        <f>BC34/6*BC64*'Model Inputs'!$B$289*'Sensitivities 2P'!$B$10</f>
        <v>0</v>
      </c>
      <c r="BD74" s="27">
        <f>BD34/6*BD64*'Model Inputs'!$B$289*'Sensitivities 2P'!$B$10</f>
        <v>0</v>
      </c>
      <c r="BE74" s="27">
        <f>BE34/6*BE64*'Model Inputs'!$B$289*'Sensitivities 2P'!$B$10</f>
        <v>0</v>
      </c>
      <c r="BF74" s="27">
        <f>BF34/6*BF64*'Model Inputs'!$B$289*'Sensitivities 2P'!$B$10</f>
        <v>0</v>
      </c>
      <c r="BG74" s="27">
        <f>BG34/6*BG64*'Model Inputs'!$B$289*'Sensitivities 2P'!$B$10</f>
        <v>0</v>
      </c>
      <c r="BH74" s="27">
        <f>BH34/6*BH64*'Model Inputs'!$B$289*'Sensitivities 2P'!$B$10</f>
        <v>0</v>
      </c>
      <c r="BI74" s="27">
        <f>BI34/6*BI64*'Model Inputs'!$B$289*'Sensitivities 2P'!$B$10</f>
        <v>0</v>
      </c>
      <c r="BJ74" s="27">
        <f>BJ34/6*BJ64*'Model Inputs'!$B$289*'Sensitivities 2P'!$B$10</f>
        <v>0</v>
      </c>
      <c r="BK74" s="27">
        <f>BK34/6*BK64*'Model Inputs'!$B$289*'Sensitivities 2P'!$B$10</f>
        <v>0</v>
      </c>
      <c r="BL74" s="27">
        <f>BL34/6*BL64*'Model Inputs'!$B$289*'Sensitivities 2P'!$B$10</f>
        <v>0</v>
      </c>
      <c r="BM74" s="27">
        <f>BM34/6*BM64*'Model Inputs'!$B$289*'Sensitivities 2P'!$B$10</f>
        <v>0</v>
      </c>
      <c r="BN74" s="27">
        <f>BN34/6*BN64*'Model Inputs'!$B$289*'Sensitivities 2P'!$B$10</f>
        <v>0</v>
      </c>
      <c r="BO74" s="27">
        <f>BO34/6*BO64*'Model Inputs'!$B$289*'Sensitivities 2P'!$B$10</f>
        <v>0</v>
      </c>
    </row>
    <row r="75" spans="1:67" ht="15" customHeight="1" x14ac:dyDescent="0.2">
      <c r="A75" s="29" t="s">
        <v>224</v>
      </c>
      <c r="B75" s="69">
        <f t="shared" si="33"/>
        <v>565089.48354995204</v>
      </c>
      <c r="C75" s="69">
        <f t="shared" ref="C75:AH75" si="34">SUM(C67:C74)</f>
        <v>10955.935950549212</v>
      </c>
      <c r="D75" s="69">
        <f t="shared" si="34"/>
        <v>11175.054669560197</v>
      </c>
      <c r="E75" s="69">
        <f t="shared" si="34"/>
        <v>11398.555762951401</v>
      </c>
      <c r="F75" s="69">
        <f t="shared" si="34"/>
        <v>11626.526878210427</v>
      </c>
      <c r="G75" s="69">
        <f t="shared" si="34"/>
        <v>11859.057415774636</v>
      </c>
      <c r="H75" s="69">
        <f t="shared" si="34"/>
        <v>12096.23856409013</v>
      </c>
      <c r="I75" s="69">
        <f t="shared" si="34"/>
        <v>12338.163335371933</v>
      </c>
      <c r="J75" s="69">
        <f t="shared" si="34"/>
        <v>12584.926602079371</v>
      </c>
      <c r="K75" s="69">
        <f t="shared" si="34"/>
        <v>12836.625134120961</v>
      </c>
      <c r="L75" s="69">
        <f t="shared" si="34"/>
        <v>13093.357636803377</v>
      </c>
      <c r="M75" s="69">
        <f t="shared" si="34"/>
        <v>13355.224789539445</v>
      </c>
      <c r="N75" s="69">
        <f t="shared" si="34"/>
        <v>13622.329285330234</v>
      </c>
      <c r="O75" s="69">
        <f t="shared" si="34"/>
        <v>13894.775871036842</v>
      </c>
      <c r="P75" s="69">
        <f t="shared" si="34"/>
        <v>14172.671388457575</v>
      </c>
      <c r="Q75" s="69">
        <f t="shared" si="34"/>
        <v>14456.124816226727</v>
      </c>
      <c r="R75" s="69">
        <f t="shared" si="34"/>
        <v>14745.247312551264</v>
      </c>
      <c r="S75" s="69">
        <f t="shared" si="34"/>
        <v>15040.152258802289</v>
      </c>
      <c r="T75" s="69">
        <f t="shared" si="34"/>
        <v>15340.955303978335</v>
      </c>
      <c r="U75" s="69">
        <f t="shared" si="34"/>
        <v>15647.774410057906</v>
      </c>
      <c r="V75" s="69">
        <f t="shared" si="34"/>
        <v>15960.729898259062</v>
      </c>
      <c r="W75" s="69">
        <f t="shared" si="34"/>
        <v>16279.944496224241</v>
      </c>
      <c r="X75" s="69">
        <f t="shared" si="34"/>
        <v>16605.543386148729</v>
      </c>
      <c r="Y75" s="69">
        <f t="shared" si="34"/>
        <v>16937.654253871704</v>
      </c>
      <c r="Z75" s="69">
        <f t="shared" si="34"/>
        <v>17276.407338949139</v>
      </c>
      <c r="AA75" s="69">
        <f t="shared" si="34"/>
        <v>17621.935485728121</v>
      </c>
      <c r="AB75" s="69">
        <f t="shared" si="34"/>
        <v>17974.374195442684</v>
      </c>
      <c r="AC75" s="69">
        <f t="shared" si="34"/>
        <v>18333.861679351539</v>
      </c>
      <c r="AD75" s="69">
        <f t="shared" si="34"/>
        <v>18528.056996229621</v>
      </c>
      <c r="AE75" s="69">
        <f t="shared" si="34"/>
        <v>10985.74018262238</v>
      </c>
      <c r="AF75" s="69">
        <f t="shared" si="34"/>
        <v>11205.454986274826</v>
      </c>
      <c r="AG75" s="69">
        <f t="shared" si="34"/>
        <v>11429.564086000322</v>
      </c>
      <c r="AH75" s="69">
        <f t="shared" si="34"/>
        <v>11658.15536772033</v>
      </c>
      <c r="AI75" s="69">
        <f t="shared" ref="AI75:BN75" si="35">SUM(AI67:AI74)</f>
        <v>11891.318475074737</v>
      </c>
      <c r="AJ75" s="69">
        <f t="shared" si="35"/>
        <v>12129.144844576233</v>
      </c>
      <c r="AK75" s="69">
        <f t="shared" si="35"/>
        <v>12371.727741467757</v>
      </c>
      <c r="AL75" s="69">
        <f t="shared" si="35"/>
        <v>12619.162296297112</v>
      </c>
      <c r="AM75" s="69">
        <f t="shared" si="35"/>
        <v>10402.654429433231</v>
      </c>
      <c r="AN75" s="69">
        <f t="shared" si="35"/>
        <v>4088.2395538013357</v>
      </c>
      <c r="AO75" s="69">
        <f t="shared" si="35"/>
        <v>4170.0043448773622</v>
      </c>
      <c r="AP75" s="69">
        <f t="shared" si="35"/>
        <v>4253.4044317749103</v>
      </c>
      <c r="AQ75" s="68">
        <f t="shared" si="35"/>
        <v>4338.4725204104079</v>
      </c>
      <c r="AR75" s="68">
        <f t="shared" si="35"/>
        <v>4425.2419708186162</v>
      </c>
      <c r="AS75" s="68">
        <f t="shared" si="35"/>
        <v>4513.7468102349885</v>
      </c>
      <c r="AT75" s="68">
        <f t="shared" si="35"/>
        <v>4604.0217464396883</v>
      </c>
      <c r="AU75" s="68">
        <f t="shared" si="35"/>
        <v>4696.102181368482</v>
      </c>
      <c r="AV75" s="68">
        <f t="shared" si="35"/>
        <v>4790.0242249958519</v>
      </c>
      <c r="AW75" s="68">
        <f t="shared" si="35"/>
        <v>4885.8247094957687</v>
      </c>
      <c r="AX75" s="68">
        <f t="shared" si="35"/>
        <v>4983.5412036856833</v>
      </c>
      <c r="AY75" s="68">
        <f t="shared" si="35"/>
        <v>4889.7323268847731</v>
      </c>
      <c r="AZ75" s="68">
        <f t="shared" si="35"/>
        <v>0</v>
      </c>
      <c r="BA75" s="68">
        <f t="shared" si="35"/>
        <v>0</v>
      </c>
      <c r="BB75" s="68">
        <f t="shared" si="35"/>
        <v>0</v>
      </c>
      <c r="BC75" s="68">
        <f t="shared" si="35"/>
        <v>0</v>
      </c>
      <c r="BD75" s="68">
        <f t="shared" si="35"/>
        <v>0</v>
      </c>
      <c r="BE75" s="68">
        <f t="shared" si="35"/>
        <v>0</v>
      </c>
      <c r="BF75" s="68">
        <f t="shared" si="35"/>
        <v>0</v>
      </c>
      <c r="BG75" s="68">
        <f t="shared" si="35"/>
        <v>0</v>
      </c>
      <c r="BH75" s="68">
        <f t="shared" si="35"/>
        <v>0</v>
      </c>
      <c r="BI75" s="68">
        <f t="shared" si="35"/>
        <v>0</v>
      </c>
      <c r="BJ75" s="68">
        <f t="shared" si="35"/>
        <v>0</v>
      </c>
      <c r="BK75" s="68">
        <f t="shared" si="35"/>
        <v>0</v>
      </c>
      <c r="BL75" s="68">
        <f t="shared" si="35"/>
        <v>0</v>
      </c>
      <c r="BM75" s="68">
        <f t="shared" si="35"/>
        <v>0</v>
      </c>
      <c r="BN75" s="68">
        <f t="shared" si="35"/>
        <v>0</v>
      </c>
      <c r="BO75" s="68">
        <f t="shared" ref="BO75" si="36">SUM(BO67:BO74)</f>
        <v>0</v>
      </c>
    </row>
    <row r="77" spans="1:67" ht="15" customHeight="1" x14ac:dyDescent="0.2">
      <c r="A77" s="29" t="s">
        <v>225</v>
      </c>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row>
    <row r="78" spans="1:67" ht="15" customHeight="1" x14ac:dyDescent="0.2">
      <c r="A78" s="29" t="s">
        <v>226</v>
      </c>
      <c r="B78" s="66">
        <f t="shared" ref="B78:B85" si="37">SUM(C78:BO78)</f>
        <v>1001973.72814495</v>
      </c>
      <c r="C78" s="66">
        <f t="shared" ref="C78:AH78" si="38">C48-C61-C75</f>
        <v>18395.921609946454</v>
      </c>
      <c r="D78" s="68">
        <f t="shared" si="38"/>
        <v>18273.540566331787</v>
      </c>
      <c r="E78" s="68">
        <f t="shared" si="38"/>
        <v>18319.095273516148</v>
      </c>
      <c r="F78" s="68">
        <f t="shared" si="38"/>
        <v>18038.318207432589</v>
      </c>
      <c r="G78" s="68">
        <f t="shared" si="38"/>
        <v>18443.380086881996</v>
      </c>
      <c r="H78" s="68">
        <f t="shared" si="38"/>
        <v>18852.278297203342</v>
      </c>
      <c r="I78" s="68">
        <f t="shared" si="38"/>
        <v>19269.354471731091</v>
      </c>
      <c r="J78" s="68">
        <f t="shared" si="38"/>
        <v>19694.772169749413</v>
      </c>
      <c r="K78" s="68">
        <f t="shared" si="38"/>
        <v>20128.698221728093</v>
      </c>
      <c r="L78" s="68">
        <f t="shared" si="38"/>
        <v>20571.302794746363</v>
      </c>
      <c r="M78" s="68">
        <f t="shared" si="38"/>
        <v>21022.759459224973</v>
      </c>
      <c r="N78" s="68">
        <f t="shared" si="38"/>
        <v>21483.24525699317</v>
      </c>
      <c r="O78" s="68">
        <f t="shared" si="38"/>
        <v>21952.940770716734</v>
      </c>
      <c r="P78" s="68">
        <f t="shared" si="38"/>
        <v>22432.030194714767</v>
      </c>
      <c r="Q78" s="68">
        <f t="shared" si="38"/>
        <v>22920.701407192755</v>
      </c>
      <c r="R78" s="68">
        <f t="shared" si="38"/>
        <v>23419.1460439203</v>
      </c>
      <c r="S78" s="68">
        <f t="shared" si="38"/>
        <v>23927.559573382405</v>
      </c>
      <c r="T78" s="68">
        <f t="shared" si="38"/>
        <v>24446.141373433748</v>
      </c>
      <c r="U78" s="68">
        <f t="shared" si="38"/>
        <v>24975.094809486109</v>
      </c>
      <c r="V78" s="68">
        <f t="shared" si="38"/>
        <v>25514.627314259535</v>
      </c>
      <c r="W78" s="68">
        <f t="shared" si="38"/>
        <v>26064.950469128424</v>
      </c>
      <c r="X78" s="68">
        <f t="shared" si="38"/>
        <v>26626.280087094685</v>
      </c>
      <c r="Y78" s="68">
        <f t="shared" si="38"/>
        <v>27198.836297420276</v>
      </c>
      <c r="Z78" s="68">
        <f t="shared" si="38"/>
        <v>27782.843631952383</v>
      </c>
      <c r="AA78" s="68">
        <f t="shared" si="38"/>
        <v>28378.531113175115</v>
      </c>
      <c r="AB78" s="68">
        <f t="shared" si="38"/>
        <v>28986.132344022324</v>
      </c>
      <c r="AC78" s="68">
        <f t="shared" si="38"/>
        <v>29605.885599486457</v>
      </c>
      <c r="AD78" s="68">
        <f t="shared" si="38"/>
        <v>30145.919686873356</v>
      </c>
      <c r="AE78" s="68">
        <f t="shared" si="38"/>
        <v>26560.015240259789</v>
      </c>
      <c r="AF78" s="68">
        <f t="shared" si="38"/>
        <v>27128.277359151201</v>
      </c>
      <c r="AG78" s="68">
        <f t="shared" si="38"/>
        <v>27707.904720420451</v>
      </c>
      <c r="AH78" s="68">
        <f t="shared" si="38"/>
        <v>28299.124628915084</v>
      </c>
      <c r="AI78" s="68">
        <f t="shared" ref="AI78:BO78" si="39">AI48-AI61-AI75</f>
        <v>28902.168935579604</v>
      </c>
      <c r="AJ78" s="68">
        <f t="shared" si="39"/>
        <v>29517.274128377427</v>
      </c>
      <c r="AK78" s="68">
        <f t="shared" si="39"/>
        <v>30144.681425031195</v>
      </c>
      <c r="AL78" s="68">
        <f t="shared" si="39"/>
        <v>30784.636867618039</v>
      </c>
      <c r="AM78" s="68">
        <f t="shared" si="39"/>
        <v>24718.295019390058</v>
      </c>
      <c r="AN78" s="68">
        <f t="shared" si="39"/>
        <v>7481.0998696283859</v>
      </c>
      <c r="AO78" s="68">
        <f t="shared" si="39"/>
        <v>7650.081782281316</v>
      </c>
      <c r="AP78" s="68">
        <f t="shared" si="39"/>
        <v>7822.4433331873042</v>
      </c>
      <c r="AQ78" s="68">
        <f t="shared" si="39"/>
        <v>7998.2521151114133</v>
      </c>
      <c r="AR78" s="68">
        <f t="shared" si="39"/>
        <v>8177.5770726740056</v>
      </c>
      <c r="AS78" s="68">
        <f t="shared" si="39"/>
        <v>8360.4885293878506</v>
      </c>
      <c r="AT78" s="68">
        <f t="shared" si="39"/>
        <v>8547.0582152359711</v>
      </c>
      <c r="AU78" s="68">
        <f t="shared" si="39"/>
        <v>8737.3592948010519</v>
      </c>
      <c r="AV78" s="68">
        <f t="shared" si="39"/>
        <v>8931.4663959574336</v>
      </c>
      <c r="AW78" s="68">
        <f t="shared" si="39"/>
        <v>9129.4556391369442</v>
      </c>
      <c r="AX78" s="68">
        <f t="shared" si="39"/>
        <v>9331.4046671800461</v>
      </c>
      <c r="AY78" s="68">
        <f t="shared" si="39"/>
        <v>9174.375773880769</v>
      </c>
      <c r="AZ78" s="68">
        <f t="shared" si="39"/>
        <v>0</v>
      </c>
      <c r="BA78" s="68">
        <f t="shared" si="39"/>
        <v>0</v>
      </c>
      <c r="BB78" s="68">
        <f t="shared" si="39"/>
        <v>0</v>
      </c>
      <c r="BC78" s="68">
        <f t="shared" si="39"/>
        <v>0</v>
      </c>
      <c r="BD78" s="68">
        <f t="shared" si="39"/>
        <v>0</v>
      </c>
      <c r="BE78" s="68">
        <f t="shared" si="39"/>
        <v>0</v>
      </c>
      <c r="BF78" s="68">
        <f t="shared" si="39"/>
        <v>0</v>
      </c>
      <c r="BG78" s="68">
        <f t="shared" si="39"/>
        <v>0</v>
      </c>
      <c r="BH78" s="68">
        <f t="shared" si="39"/>
        <v>0</v>
      </c>
      <c r="BI78" s="68">
        <f t="shared" si="39"/>
        <v>0</v>
      </c>
      <c r="BJ78" s="68">
        <f t="shared" si="39"/>
        <v>0</v>
      </c>
      <c r="BK78" s="68">
        <f t="shared" si="39"/>
        <v>0</v>
      </c>
      <c r="BL78" s="68">
        <f t="shared" si="39"/>
        <v>0</v>
      </c>
      <c r="BM78" s="68">
        <f t="shared" si="39"/>
        <v>0</v>
      </c>
      <c r="BN78" s="68">
        <f t="shared" si="39"/>
        <v>0</v>
      </c>
      <c r="BO78" s="68">
        <f t="shared" si="39"/>
        <v>0</v>
      </c>
    </row>
    <row r="79" spans="1:67" ht="15" customHeight="1" x14ac:dyDescent="0.2">
      <c r="A79" s="14" t="s">
        <v>227</v>
      </c>
      <c r="B79" s="68">
        <f t="shared" si="37"/>
        <v>129904.9999999999</v>
      </c>
      <c r="C79" s="27">
        <f>'Model Inputs'!B154*'Sensitivities 2P'!$B$11</f>
        <v>5194</v>
      </c>
      <c r="D79" s="27">
        <f>'Model Inputs'!C154*'Sensitivities 2P'!$B$11</f>
        <v>5562</v>
      </c>
      <c r="E79" s="27">
        <f>'Model Inputs'!D154*'Sensitivities 2P'!$B$11</f>
        <v>5667</v>
      </c>
      <c r="F79" s="27">
        <f>'Model Inputs'!E154*'Sensitivities 2P'!$B$11</f>
        <v>6264</v>
      </c>
      <c r="G79" s="27">
        <f>'Model Inputs'!F154*'Sensitivities 2P'!$B$11</f>
        <v>5770</v>
      </c>
      <c r="H79" s="27">
        <f>'Model Inputs'!$G$154*H35/SUM($H$35:$BO$35)*'Sensitivities 2P'!$B$11</f>
        <v>3358.2033897522624</v>
      </c>
      <c r="I79" s="27">
        <f>'Model Inputs'!$G$154*I35/SUM($H$35:$BO$35)*'Sensitivities 2P'!$B$11</f>
        <v>3358.2033897522624</v>
      </c>
      <c r="J79" s="27">
        <f>'Model Inputs'!$G$154*J35/SUM($H$35:$BO$35)*'Sensitivities 2P'!$B$11</f>
        <v>3358.2033897522624</v>
      </c>
      <c r="K79" s="27">
        <f>'Model Inputs'!$G$154*K35/SUM($H$35:$BO$35)*'Sensitivities 2P'!$B$11</f>
        <v>3358.2033897522624</v>
      </c>
      <c r="L79" s="27">
        <f>'Model Inputs'!$G$154*L35/SUM($H$35:$BO$35)*'Sensitivities 2P'!$B$11</f>
        <v>3358.2033897522624</v>
      </c>
      <c r="M79" s="27">
        <f>'Model Inputs'!$G$154*M35/SUM($H$35:$BO$35)*'Sensitivities 2P'!$B$11</f>
        <v>3358.2033897522624</v>
      </c>
      <c r="N79" s="27">
        <f>'Model Inputs'!$G$154*N35/SUM($H$35:$BO$35)*'Sensitivities 2P'!$B$11</f>
        <v>3358.2033897522624</v>
      </c>
      <c r="O79" s="27">
        <f>'Model Inputs'!$G$154*O35/SUM($H$35:$BO$35)*'Sensitivities 2P'!$B$11</f>
        <v>3358.2033897522624</v>
      </c>
      <c r="P79" s="27">
        <f>'Model Inputs'!$G$154*P35/SUM($H$35:$BO$35)*'Sensitivities 2P'!$B$11</f>
        <v>3358.2033897522624</v>
      </c>
      <c r="Q79" s="27">
        <f>'Model Inputs'!$G$154*Q35/SUM($H$35:$BO$35)*'Sensitivities 2P'!$B$11</f>
        <v>3358.2033897522624</v>
      </c>
      <c r="R79" s="27">
        <f>'Model Inputs'!$G$154*R35/SUM($H$35:$BO$35)*'Sensitivities 2P'!$B$11</f>
        <v>3358.2033897522624</v>
      </c>
      <c r="S79" s="27">
        <f>'Model Inputs'!$G$154*S35/SUM($H$35:$BO$35)*'Sensitivities 2P'!$B$11</f>
        <v>3358.2033897522624</v>
      </c>
      <c r="T79" s="27">
        <f>'Model Inputs'!$G$154*T35/SUM($H$35:$BO$35)*'Sensitivities 2P'!$B$11</f>
        <v>3358.2033897522624</v>
      </c>
      <c r="U79" s="27">
        <f>'Model Inputs'!$G$154*U35/SUM($H$35:$BO$35)*'Sensitivities 2P'!$B$11</f>
        <v>3358.2033897522624</v>
      </c>
      <c r="V79" s="27">
        <f>'Model Inputs'!$G$154*V35/SUM($H$35:$BO$35)*'Sensitivities 2P'!$B$11</f>
        <v>3358.2033897522624</v>
      </c>
      <c r="W79" s="27">
        <f>'Model Inputs'!$G$154*W35/SUM($H$35:$BO$35)*'Sensitivities 2P'!$B$11</f>
        <v>3358.2033897522624</v>
      </c>
      <c r="X79" s="27">
        <f>'Model Inputs'!$G$154*X35/SUM($H$35:$BO$35)*'Sensitivities 2P'!$B$11</f>
        <v>3358.2033897522624</v>
      </c>
      <c r="Y79" s="27">
        <f>'Model Inputs'!$G$154*Y35/SUM($H$35:$BO$35)*'Sensitivities 2P'!$B$11</f>
        <v>3358.2033897522624</v>
      </c>
      <c r="Z79" s="27">
        <f>'Model Inputs'!$G$154*Z35/SUM($H$35:$BO$35)*'Sensitivities 2P'!$B$11</f>
        <v>3358.2033897522624</v>
      </c>
      <c r="AA79" s="27">
        <f>'Model Inputs'!$G$154*AA35/SUM($H$35:$BO$35)*'Sensitivities 2P'!$B$11</f>
        <v>3358.2033897522624</v>
      </c>
      <c r="AB79" s="27">
        <f>'Model Inputs'!$G$154*AB35/SUM($H$35:$BO$35)*'Sensitivities 2P'!$B$11</f>
        <v>3358.2033897522624</v>
      </c>
      <c r="AC79" s="27">
        <f>'Model Inputs'!$G$154*AC35/SUM($H$35:$BO$35)*'Sensitivities 2P'!$B$11</f>
        <v>3358.2033897522624</v>
      </c>
      <c r="AD79" s="27">
        <f>'Model Inputs'!$G$154*AD35/SUM($H$35:$BO$35)*'Sensitivities 2P'!$B$11</f>
        <v>3327.2294504417646</v>
      </c>
      <c r="AE79" s="27">
        <f>'Model Inputs'!$G$154*AE35/SUM($H$35:$BO$35)*'Sensitivities 2P'!$B$11</f>
        <v>1934.1138070087943</v>
      </c>
      <c r="AF79" s="27">
        <f>'Model Inputs'!$G$154*AF35/SUM($H$35:$BO$35)*'Sensitivities 2P'!$B$11</f>
        <v>1934.1138070087943</v>
      </c>
      <c r="AG79" s="27">
        <f>'Model Inputs'!$G$154*AG35/SUM($H$35:$BO$35)*'Sensitivities 2P'!$B$11</f>
        <v>1934.1138070087943</v>
      </c>
      <c r="AH79" s="27">
        <f>'Model Inputs'!$G$154*AH35/SUM($H$35:$BO$35)*'Sensitivities 2P'!$B$11</f>
        <v>1934.1138070087943</v>
      </c>
      <c r="AI79" s="27">
        <f>'Model Inputs'!$G$154*AI35/SUM($H$35:$BO$35)*'Sensitivities 2P'!$B$11</f>
        <v>1934.1138070087943</v>
      </c>
      <c r="AJ79" s="27">
        <f>'Model Inputs'!$G$154*AJ35/SUM($H$35:$BO$35)*'Sensitivities 2P'!$B$11</f>
        <v>1934.1138070087943</v>
      </c>
      <c r="AK79" s="27">
        <f>'Model Inputs'!$G$154*AK35/SUM($H$35:$BO$35)*'Sensitivities 2P'!$B$11</f>
        <v>1934.1138070087943</v>
      </c>
      <c r="AL79" s="27">
        <f>'Model Inputs'!$G$154*AL35/SUM($H$35:$BO$35)*'Sensitivities 2P'!$B$11</f>
        <v>1934.1138070087943</v>
      </c>
      <c r="AM79" s="27">
        <f>'Model Inputs'!$G$154*AM35/SUM($H$35:$BO$35)*'Sensitivities 2P'!$B$11</f>
        <v>1563.1314433459306</v>
      </c>
      <c r="AN79" s="27">
        <f>'Model Inputs'!$G$154*AN35/SUM($H$35:$BO$35)*'Sensitivities 2P'!$B$11</f>
        <v>602.26481444554486</v>
      </c>
      <c r="AO79" s="27">
        <f>'Model Inputs'!$G$154*AO35/SUM($H$35:$BO$35)*'Sensitivities 2P'!$B$11</f>
        <v>602.26481444554486</v>
      </c>
      <c r="AP79" s="27">
        <f>'Model Inputs'!$G$154*AP35/SUM($H$35:$BO$35)*'Sensitivities 2P'!$B$11</f>
        <v>602.26481444554486</v>
      </c>
      <c r="AQ79" s="27">
        <f>'Model Inputs'!$G$154*AQ35/SUM($H$35:$BO$35)*'Sensitivities 2P'!$B$11</f>
        <v>602.26481444554486</v>
      </c>
      <c r="AR79" s="27">
        <f>'Model Inputs'!$G$154*AR35/SUM($H$35:$BO$35)*'Sensitivities 2P'!$B$11</f>
        <v>602.26481444554486</v>
      </c>
      <c r="AS79" s="27">
        <f>'Model Inputs'!$G$154*AS35/SUM($H$35:$BO$35)*'Sensitivities 2P'!$B$11</f>
        <v>602.26481444554486</v>
      </c>
      <c r="AT79" s="27">
        <f>'Model Inputs'!$G$154*AT35/SUM($H$35:$BO$35)*'Sensitivities 2P'!$B$11</f>
        <v>602.26481444554486</v>
      </c>
      <c r="AU79" s="27">
        <f>'Model Inputs'!$G$154*AU35/SUM($H$35:$BO$35)*'Sensitivities 2P'!$B$11</f>
        <v>602.26481444554486</v>
      </c>
      <c r="AV79" s="27">
        <f>'Model Inputs'!$G$154*AV35/SUM($H$35:$BO$35)*'Sensitivities 2P'!$B$11</f>
        <v>602.26481444554486</v>
      </c>
      <c r="AW79" s="27">
        <f>'Model Inputs'!$G$154*AW35/SUM($H$35:$BO$35)*'Sensitivities 2P'!$B$11</f>
        <v>602.26481444554486</v>
      </c>
      <c r="AX79" s="27">
        <f>'Model Inputs'!$G$154*AX35/SUM($H$35:$BO$35)*'Sensitivities 2P'!$B$11</f>
        <v>602.26481444554486</v>
      </c>
      <c r="AY79" s="27">
        <f>'Model Inputs'!$G$154*AY35/SUM($H$35:$BO$35)*'Sensitivities 2P'!$B$11</f>
        <v>579.34111669107642</v>
      </c>
      <c r="AZ79" s="27">
        <f>'Model Inputs'!$G$154*AZ35/SUM($H$35:$BO$35)*'Sensitivities 2P'!$B$11</f>
        <v>0</v>
      </c>
      <c r="BA79" s="27">
        <f>'Model Inputs'!$G$154*BA35/SUM($H$35:$BO$35)*'Sensitivities 2P'!$B$11</f>
        <v>0</v>
      </c>
      <c r="BB79" s="27">
        <f>'Model Inputs'!$G$154*BB35/SUM($H$35:$BO$35)*'Sensitivities 2P'!$B$11</f>
        <v>0</v>
      </c>
      <c r="BC79" s="27">
        <f>'Model Inputs'!$G$154*BC35/SUM($H$35:$BO$35)*'Sensitivities 2P'!$B$11</f>
        <v>0</v>
      </c>
      <c r="BD79" s="27">
        <f>'Model Inputs'!$G$154*BD35/SUM($H$35:$BO$35)*'Sensitivities 2P'!$B$11</f>
        <v>0</v>
      </c>
      <c r="BE79" s="27">
        <f>'Model Inputs'!$G$154*BE35/SUM($H$35:$BO$35)*'Sensitivities 2P'!$B$11</f>
        <v>0</v>
      </c>
      <c r="BF79" s="27">
        <f>'Model Inputs'!$G$154*BF35/SUM($H$35:$BO$35)*'Sensitivities 2P'!$B$11</f>
        <v>0</v>
      </c>
      <c r="BG79" s="27">
        <f>'Model Inputs'!$G$154*BG35/SUM($H$35:$BO$35)*'Sensitivities 2P'!$B$11</f>
        <v>0</v>
      </c>
      <c r="BH79" s="27">
        <f>'Model Inputs'!$G$154*BH35/SUM($H$35:$BO$35)*'Sensitivities 2P'!$B$11</f>
        <v>0</v>
      </c>
      <c r="BI79" s="27">
        <f>'Model Inputs'!$G$154*BI35/SUM($H$35:$BO$35)*'Sensitivities 2P'!$B$11</f>
        <v>0</v>
      </c>
      <c r="BJ79" s="27">
        <f>'Model Inputs'!$G$154*BJ35/SUM($H$35:$BO$35)*'Sensitivities 2P'!$B$11</f>
        <v>0</v>
      </c>
      <c r="BK79" s="27">
        <f>'Model Inputs'!$G$154*BK35/SUM($H$35:$BO$35)*'Sensitivities 2P'!$B$11</f>
        <v>0</v>
      </c>
      <c r="BL79" s="27">
        <f>'Model Inputs'!$G$154*BL35/SUM($H$35:$BO$35)*'Sensitivities 2P'!$B$11</f>
        <v>0</v>
      </c>
      <c r="BM79" s="27">
        <f>'Model Inputs'!$G$154*BM35/SUM($H$35:$BO$35)*'Sensitivities 2P'!$B$11</f>
        <v>0</v>
      </c>
      <c r="BN79" s="27">
        <f>'Model Inputs'!$G$154*BN35/SUM($H$35:$BO$35)*'Sensitivities 2P'!$B$11</f>
        <v>0</v>
      </c>
      <c r="BO79" s="27">
        <f>'Model Inputs'!$G$154*BO35/SUM($H$35:$BO$35)*'Sensitivities 2P'!$B$11</f>
        <v>0</v>
      </c>
    </row>
    <row r="80" spans="1:67" ht="15" customHeight="1" x14ac:dyDescent="0.2">
      <c r="A80" s="14" t="s">
        <v>228</v>
      </c>
      <c r="B80" s="68">
        <f t="shared" si="37"/>
        <v>25121.999999999996</v>
      </c>
      <c r="C80" s="73">
        <f t="shared" ref="C80:AH80" si="40">C121</f>
        <v>475</v>
      </c>
      <c r="D80" s="73">
        <f t="shared" si="40"/>
        <v>478.20125781111949</v>
      </c>
      <c r="E80" s="73">
        <f t="shared" si="40"/>
        <v>481.46654077846142</v>
      </c>
      <c r="F80" s="73">
        <f t="shared" si="40"/>
        <v>484.79712940515014</v>
      </c>
      <c r="G80" s="73">
        <f t="shared" si="40"/>
        <v>488.19432980437261</v>
      </c>
      <c r="H80" s="73">
        <f t="shared" si="40"/>
        <v>491.65947421157961</v>
      </c>
      <c r="I80" s="73">
        <f t="shared" si="40"/>
        <v>495.19392150693068</v>
      </c>
      <c r="J80" s="73">
        <f t="shared" si="40"/>
        <v>498.79905774818877</v>
      </c>
      <c r="K80" s="73">
        <f t="shared" si="40"/>
        <v>502.47629671427205</v>
      </c>
      <c r="L80" s="73">
        <f t="shared" si="40"/>
        <v>506.22708045967698</v>
      </c>
      <c r="M80" s="73">
        <f t="shared" si="40"/>
        <v>510.05287987999003</v>
      </c>
      <c r="N80" s="73">
        <f t="shared" si="40"/>
        <v>513.95519528870932</v>
      </c>
      <c r="O80" s="73">
        <f t="shared" si="40"/>
        <v>517.93555700560296</v>
      </c>
      <c r="P80" s="73">
        <f t="shared" si="40"/>
        <v>521.99552595683463</v>
      </c>
      <c r="Q80" s="73">
        <f t="shared" si="40"/>
        <v>707.20453214554914</v>
      </c>
      <c r="R80" s="73">
        <f t="shared" si="40"/>
        <v>711.42852384241041</v>
      </c>
      <c r="S80" s="73">
        <f t="shared" si="40"/>
        <v>715.73699537320897</v>
      </c>
      <c r="T80" s="73">
        <f t="shared" si="40"/>
        <v>720.13163633462352</v>
      </c>
      <c r="U80" s="73">
        <f t="shared" si="40"/>
        <v>724.61417011526623</v>
      </c>
      <c r="V80" s="73">
        <f t="shared" si="40"/>
        <v>902.61302241621524</v>
      </c>
      <c r="W80" s="73">
        <f t="shared" si="40"/>
        <v>907.27665056159594</v>
      </c>
      <c r="X80" s="73">
        <f t="shared" si="40"/>
        <v>912.03355126988436</v>
      </c>
      <c r="Y80" s="73">
        <f t="shared" si="40"/>
        <v>916.88558999233851</v>
      </c>
      <c r="Z80" s="73">
        <f t="shared" si="40"/>
        <v>921.83466948924172</v>
      </c>
      <c r="AA80" s="73">
        <f t="shared" si="40"/>
        <v>926.88273057608308</v>
      </c>
      <c r="AB80" s="73">
        <f t="shared" si="40"/>
        <v>951.22466745631459</v>
      </c>
      <c r="AC80" s="73">
        <f t="shared" si="40"/>
        <v>956.47667021106429</v>
      </c>
      <c r="AD80" s="73">
        <f t="shared" si="40"/>
        <v>961.83371302090893</v>
      </c>
      <c r="AE80" s="73">
        <f t="shared" si="40"/>
        <v>507.55669186037176</v>
      </c>
      <c r="AF80" s="73">
        <f t="shared" si="40"/>
        <v>507.55669186037176</v>
      </c>
      <c r="AG80" s="73">
        <f t="shared" si="40"/>
        <v>507.55669186037176</v>
      </c>
      <c r="AH80" s="73">
        <f t="shared" si="40"/>
        <v>507.55669186037176</v>
      </c>
      <c r="AI80" s="73">
        <f t="shared" ref="AI80:BO80" si="41">AI121</f>
        <v>507.55669186037176</v>
      </c>
      <c r="AJ80" s="73">
        <f t="shared" si="41"/>
        <v>507.55669186037176</v>
      </c>
      <c r="AK80" s="73">
        <f t="shared" si="41"/>
        <v>507.55669186037176</v>
      </c>
      <c r="AL80" s="73">
        <f t="shared" si="41"/>
        <v>507.55669186037176</v>
      </c>
      <c r="AM80" s="73">
        <f t="shared" si="41"/>
        <v>507.55669186037176</v>
      </c>
      <c r="AN80" s="73">
        <f t="shared" si="41"/>
        <v>137.65486699008852</v>
      </c>
      <c r="AO80" s="73">
        <f t="shared" si="41"/>
        <v>137.65486699008852</v>
      </c>
      <c r="AP80" s="73">
        <f t="shared" si="41"/>
        <v>137.65486699008852</v>
      </c>
      <c r="AQ80" s="27">
        <f t="shared" si="41"/>
        <v>137.65486699008852</v>
      </c>
      <c r="AR80" s="27">
        <f t="shared" si="41"/>
        <v>137.65486699008852</v>
      </c>
      <c r="AS80" s="27">
        <f t="shared" si="41"/>
        <v>137.65486699008852</v>
      </c>
      <c r="AT80" s="27">
        <f t="shared" si="41"/>
        <v>137.65486699008852</v>
      </c>
      <c r="AU80" s="27">
        <f t="shared" si="41"/>
        <v>137.65486699008852</v>
      </c>
      <c r="AV80" s="27">
        <f t="shared" si="41"/>
        <v>137.65486699008852</v>
      </c>
      <c r="AW80" s="27">
        <f t="shared" si="41"/>
        <v>137.65486699008852</v>
      </c>
      <c r="AX80" s="27">
        <f t="shared" si="41"/>
        <v>137.65486699008852</v>
      </c>
      <c r="AY80" s="27">
        <f t="shared" si="41"/>
        <v>137.65486699008852</v>
      </c>
      <c r="AZ80" s="27">
        <f t="shared" si="41"/>
        <v>0</v>
      </c>
      <c r="BA80" s="27">
        <f t="shared" si="41"/>
        <v>0</v>
      </c>
      <c r="BB80" s="27">
        <f t="shared" si="41"/>
        <v>0</v>
      </c>
      <c r="BC80" s="27">
        <f t="shared" si="41"/>
        <v>0</v>
      </c>
      <c r="BD80" s="27">
        <f t="shared" si="41"/>
        <v>0</v>
      </c>
      <c r="BE80" s="27">
        <f t="shared" si="41"/>
        <v>0</v>
      </c>
      <c r="BF80" s="27">
        <f t="shared" si="41"/>
        <v>0</v>
      </c>
      <c r="BG80" s="27">
        <f t="shared" si="41"/>
        <v>0</v>
      </c>
      <c r="BH80" s="27">
        <f t="shared" si="41"/>
        <v>0</v>
      </c>
      <c r="BI80" s="27">
        <f t="shared" si="41"/>
        <v>0</v>
      </c>
      <c r="BJ80" s="27">
        <f t="shared" si="41"/>
        <v>0</v>
      </c>
      <c r="BK80" s="27">
        <f t="shared" si="41"/>
        <v>0</v>
      </c>
      <c r="BL80" s="27">
        <f t="shared" si="41"/>
        <v>0</v>
      </c>
      <c r="BM80" s="27">
        <f t="shared" si="41"/>
        <v>0</v>
      </c>
      <c r="BN80" s="27">
        <f t="shared" si="41"/>
        <v>0</v>
      </c>
      <c r="BO80" s="27">
        <f t="shared" si="41"/>
        <v>0</v>
      </c>
    </row>
    <row r="81" spans="1:67" ht="15" customHeight="1" x14ac:dyDescent="0.2">
      <c r="A81" s="29" t="s">
        <v>229</v>
      </c>
      <c r="B81" s="69">
        <f t="shared" si="37"/>
        <v>846946.72814495035</v>
      </c>
      <c r="C81" s="69">
        <f t="shared" ref="C81:AH81" si="42">C78-C79-C80</f>
        <v>12726.921609946454</v>
      </c>
      <c r="D81" s="69">
        <f t="shared" si="42"/>
        <v>12233.339308520668</v>
      </c>
      <c r="E81" s="69">
        <f t="shared" si="42"/>
        <v>12170.628732737687</v>
      </c>
      <c r="F81" s="69">
        <f t="shared" si="42"/>
        <v>11289.521078027439</v>
      </c>
      <c r="G81" s="69">
        <f t="shared" si="42"/>
        <v>12185.185757077623</v>
      </c>
      <c r="H81" s="69">
        <f t="shared" si="42"/>
        <v>15002.415433239499</v>
      </c>
      <c r="I81" s="69">
        <f t="shared" si="42"/>
        <v>15415.957160471897</v>
      </c>
      <c r="J81" s="69">
        <f t="shared" si="42"/>
        <v>15837.769722248961</v>
      </c>
      <c r="K81" s="69">
        <f t="shared" si="42"/>
        <v>16268.018535261557</v>
      </c>
      <c r="L81" s="69">
        <f t="shared" si="42"/>
        <v>16706.872324534423</v>
      </c>
      <c r="M81" s="69">
        <f t="shared" si="42"/>
        <v>17154.50318959272</v>
      </c>
      <c r="N81" s="69">
        <f t="shared" si="42"/>
        <v>17611.086671952198</v>
      </c>
      <c r="O81" s="69">
        <f t="shared" si="42"/>
        <v>18076.801823958867</v>
      </c>
      <c r="P81" s="69">
        <f t="shared" si="42"/>
        <v>18551.83127900567</v>
      </c>
      <c r="Q81" s="69">
        <f t="shared" si="42"/>
        <v>18855.293485294944</v>
      </c>
      <c r="R81" s="69">
        <f t="shared" si="42"/>
        <v>19349.514130325628</v>
      </c>
      <c r="S81" s="69">
        <f t="shared" si="42"/>
        <v>19853.619188256933</v>
      </c>
      <c r="T81" s="69">
        <f t="shared" si="42"/>
        <v>20367.806347346861</v>
      </c>
      <c r="U81" s="69">
        <f t="shared" si="42"/>
        <v>20892.277249618579</v>
      </c>
      <c r="V81" s="69">
        <f t="shared" si="42"/>
        <v>21253.810902091056</v>
      </c>
      <c r="W81" s="69">
        <f t="shared" si="42"/>
        <v>21799.470428814566</v>
      </c>
      <c r="X81" s="69">
        <f t="shared" si="42"/>
        <v>22356.043146072538</v>
      </c>
      <c r="Y81" s="69">
        <f t="shared" si="42"/>
        <v>22923.747317675672</v>
      </c>
      <c r="Z81" s="69">
        <f t="shared" si="42"/>
        <v>23502.805572710877</v>
      </c>
      <c r="AA81" s="69">
        <f t="shared" si="42"/>
        <v>24093.444992846769</v>
      </c>
      <c r="AB81" s="69">
        <f t="shared" si="42"/>
        <v>24676.704286813747</v>
      </c>
      <c r="AC81" s="69">
        <f t="shared" si="42"/>
        <v>25291.205539523129</v>
      </c>
      <c r="AD81" s="69">
        <f t="shared" si="42"/>
        <v>25856.856523410683</v>
      </c>
      <c r="AE81" s="69">
        <f t="shared" si="42"/>
        <v>24118.344741390621</v>
      </c>
      <c r="AF81" s="69">
        <f t="shared" si="42"/>
        <v>24686.606860282034</v>
      </c>
      <c r="AG81" s="69">
        <f t="shared" si="42"/>
        <v>25266.234221551284</v>
      </c>
      <c r="AH81" s="69">
        <f t="shared" si="42"/>
        <v>25857.454130045917</v>
      </c>
      <c r="AI81" s="69">
        <f t="shared" ref="AI81:BN81" si="43">AI78-AI79-AI80</f>
        <v>26460.498436710437</v>
      </c>
      <c r="AJ81" s="69">
        <f t="shared" si="43"/>
        <v>27075.603629508259</v>
      </c>
      <c r="AK81" s="69">
        <f t="shared" si="43"/>
        <v>27703.010926162027</v>
      </c>
      <c r="AL81" s="69">
        <f t="shared" si="43"/>
        <v>28342.966368748872</v>
      </c>
      <c r="AM81" s="69">
        <f t="shared" si="43"/>
        <v>22647.606884183755</v>
      </c>
      <c r="AN81" s="69">
        <f t="shared" si="43"/>
        <v>6741.1801881927522</v>
      </c>
      <c r="AO81" s="69">
        <f t="shared" si="43"/>
        <v>6910.1621008456823</v>
      </c>
      <c r="AP81" s="69">
        <f t="shared" si="43"/>
        <v>7082.5236517516705</v>
      </c>
      <c r="AQ81" s="68">
        <f t="shared" si="43"/>
        <v>7258.3324336757796</v>
      </c>
      <c r="AR81" s="68">
        <f t="shared" si="43"/>
        <v>7437.6573912383719</v>
      </c>
      <c r="AS81" s="68">
        <f t="shared" si="43"/>
        <v>7620.5688479522169</v>
      </c>
      <c r="AT81" s="68">
        <f t="shared" si="43"/>
        <v>7807.1385338003374</v>
      </c>
      <c r="AU81" s="68">
        <f t="shared" si="43"/>
        <v>7997.4396133654182</v>
      </c>
      <c r="AV81" s="68">
        <f t="shared" si="43"/>
        <v>8191.5467145217999</v>
      </c>
      <c r="AW81" s="68">
        <f t="shared" si="43"/>
        <v>8389.5359577013114</v>
      </c>
      <c r="AX81" s="68">
        <f t="shared" si="43"/>
        <v>8591.4849857444133</v>
      </c>
      <c r="AY81" s="68">
        <f t="shared" si="43"/>
        <v>8457.379790199604</v>
      </c>
      <c r="AZ81" s="68">
        <f t="shared" si="43"/>
        <v>0</v>
      </c>
      <c r="BA81" s="68">
        <f t="shared" si="43"/>
        <v>0</v>
      </c>
      <c r="BB81" s="68">
        <f t="shared" si="43"/>
        <v>0</v>
      </c>
      <c r="BC81" s="68">
        <f t="shared" si="43"/>
        <v>0</v>
      </c>
      <c r="BD81" s="68">
        <f t="shared" si="43"/>
        <v>0</v>
      </c>
      <c r="BE81" s="68">
        <f t="shared" si="43"/>
        <v>0</v>
      </c>
      <c r="BF81" s="68">
        <f t="shared" si="43"/>
        <v>0</v>
      </c>
      <c r="BG81" s="68">
        <f t="shared" si="43"/>
        <v>0</v>
      </c>
      <c r="BH81" s="68">
        <f t="shared" si="43"/>
        <v>0</v>
      </c>
      <c r="BI81" s="68">
        <f t="shared" si="43"/>
        <v>0</v>
      </c>
      <c r="BJ81" s="68">
        <f t="shared" si="43"/>
        <v>0</v>
      </c>
      <c r="BK81" s="68">
        <f t="shared" si="43"/>
        <v>0</v>
      </c>
      <c r="BL81" s="68">
        <f t="shared" si="43"/>
        <v>0</v>
      </c>
      <c r="BM81" s="68">
        <f t="shared" si="43"/>
        <v>0</v>
      </c>
      <c r="BN81" s="68">
        <f t="shared" si="43"/>
        <v>0</v>
      </c>
      <c r="BO81" s="68">
        <f t="shared" ref="BO81" si="44">BO78-BO79-BO80</f>
        <v>0</v>
      </c>
    </row>
    <row r="82" spans="1:67" ht="15" customHeight="1" x14ac:dyDescent="0.2">
      <c r="A82" s="14" t="s">
        <v>230</v>
      </c>
      <c r="B82" s="68">
        <f t="shared" si="37"/>
        <v>188664.99999999994</v>
      </c>
      <c r="C82" s="27">
        <f t="shared" ref="C82:AH82" si="45">C131*$B$132</f>
        <v>0</v>
      </c>
      <c r="D82" s="27">
        <f t="shared" si="45"/>
        <v>0</v>
      </c>
      <c r="E82" s="27">
        <f t="shared" si="45"/>
        <v>0</v>
      </c>
      <c r="F82" s="27">
        <f t="shared" si="45"/>
        <v>0</v>
      </c>
      <c r="G82" s="27">
        <f t="shared" si="45"/>
        <v>0</v>
      </c>
      <c r="H82" s="27">
        <f t="shared" si="45"/>
        <v>661.16870021294017</v>
      </c>
      <c r="I82" s="27">
        <f t="shared" si="45"/>
        <v>1477.2827219319101</v>
      </c>
      <c r="J82" s="27">
        <f t="shared" si="45"/>
        <v>2122.3286921528961</v>
      </c>
      <c r="K82" s="27">
        <f t="shared" si="45"/>
        <v>2639.7328328290237</v>
      </c>
      <c r="L82" s="27">
        <f t="shared" si="45"/>
        <v>3062.0779946067209</v>
      </c>
      <c r="M82" s="27">
        <f t="shared" si="45"/>
        <v>3413.8147633359972</v>
      </c>
      <c r="N82" s="27">
        <f t="shared" si="45"/>
        <v>3713.2947952268878</v>
      </c>
      <c r="O82" s="27">
        <f t="shared" si="45"/>
        <v>3974.295823595864</v>
      </c>
      <c r="P82" s="27">
        <f t="shared" si="45"/>
        <v>4207.1654194124221</v>
      </c>
      <c r="Q82" s="27">
        <f t="shared" si="45"/>
        <v>4366.2283633076377</v>
      </c>
      <c r="R82" s="27">
        <f t="shared" si="45"/>
        <v>4564.2318367786484</v>
      </c>
      <c r="S82" s="27">
        <f t="shared" si="45"/>
        <v>4752.1252354341659</v>
      </c>
      <c r="T82" s="27">
        <f t="shared" si="45"/>
        <v>4933.2238938491064</v>
      </c>
      <c r="U82" s="27">
        <f t="shared" si="45"/>
        <v>5110.0300692720784</v>
      </c>
      <c r="V82" s="27">
        <f t="shared" si="45"/>
        <v>5233.2417129057594</v>
      </c>
      <c r="W82" s="27">
        <f t="shared" si="45"/>
        <v>5406.6844172630717</v>
      </c>
      <c r="X82" s="27">
        <f t="shared" si="45"/>
        <v>5580.2570645149162</v>
      </c>
      <c r="Y82" s="27">
        <f t="shared" si="45"/>
        <v>5754.7969813173413</v>
      </c>
      <c r="Z82" s="27">
        <f t="shared" si="45"/>
        <v>5930.9495589099724</v>
      </c>
      <c r="AA82" s="27">
        <f t="shared" si="45"/>
        <v>6109.2165848950672</v>
      </c>
      <c r="AB82" s="27">
        <f t="shared" si="45"/>
        <v>6284.3268324518313</v>
      </c>
      <c r="AC82" s="27">
        <f t="shared" si="45"/>
        <v>6467.9259255926427</v>
      </c>
      <c r="AD82" s="27">
        <f t="shared" si="45"/>
        <v>6638.8402356924462</v>
      </c>
      <c r="AE82" s="27">
        <f t="shared" si="45"/>
        <v>6231.4018304127676</v>
      </c>
      <c r="AF82" s="27">
        <f t="shared" si="45"/>
        <v>6478.4725331250975</v>
      </c>
      <c r="AG82" s="27">
        <f t="shared" si="45"/>
        <v>6709.0676701387492</v>
      </c>
      <c r="AH82" s="27">
        <f t="shared" si="45"/>
        <v>6928.2119750779766</v>
      </c>
      <c r="AI82" s="27">
        <f t="shared" ref="AI82:BO82" si="46">AI131*$B$132</f>
        <v>7139.6921150049657</v>
      </c>
      <c r="AJ82" s="27">
        <f t="shared" si="46"/>
        <v>7346.3665693972298</v>
      </c>
      <c r="AK82" s="27">
        <f t="shared" si="46"/>
        <v>7550.3980466273861</v>
      </c>
      <c r="AL82" s="27">
        <f t="shared" si="46"/>
        <v>7753.4278037146842</v>
      </c>
      <c r="AM82" s="27">
        <f t="shared" si="46"/>
        <v>6110.1482899967932</v>
      </c>
      <c r="AN82" s="27">
        <f t="shared" si="46"/>
        <v>1514.0246070090072</v>
      </c>
      <c r="AO82" s="27">
        <f t="shared" si="46"/>
        <v>1638.4466089863643</v>
      </c>
      <c r="AP82" s="27">
        <f t="shared" si="46"/>
        <v>1745.231450374454</v>
      </c>
      <c r="AQ82" s="27">
        <f t="shared" si="46"/>
        <v>1839.057788118695</v>
      </c>
      <c r="AR82" s="27">
        <f t="shared" si="46"/>
        <v>1923.4400022641132</v>
      </c>
      <c r="AS82" s="27">
        <f t="shared" si="46"/>
        <v>2001.0193729271589</v>
      </c>
      <c r="AT82" s="27">
        <f t="shared" si="46"/>
        <v>2073.782465179504</v>
      </c>
      <c r="AU82" s="27">
        <f t="shared" si="46"/>
        <v>2143.2249199089247</v>
      </c>
      <c r="AV82" s="27">
        <f t="shared" si="46"/>
        <v>2210.4742992069559</v>
      </c>
      <c r="AW82" s="27">
        <f t="shared" si="46"/>
        <v>2276.3822226964653</v>
      </c>
      <c r="AX82" s="27">
        <f t="shared" si="46"/>
        <v>2341.593472109902</v>
      </c>
      <c r="AY82" s="27">
        <f t="shared" si="46"/>
        <v>2307.8955022334289</v>
      </c>
      <c r="AZ82" s="27">
        <f t="shared" si="46"/>
        <v>0</v>
      </c>
      <c r="BA82" s="27">
        <f t="shared" si="46"/>
        <v>0</v>
      </c>
      <c r="BB82" s="27">
        <f t="shared" si="46"/>
        <v>0</v>
      </c>
      <c r="BC82" s="27">
        <f t="shared" si="46"/>
        <v>0</v>
      </c>
      <c r="BD82" s="27">
        <f t="shared" si="46"/>
        <v>0</v>
      </c>
      <c r="BE82" s="27">
        <f t="shared" si="46"/>
        <v>0</v>
      </c>
      <c r="BF82" s="27">
        <f t="shared" si="46"/>
        <v>0</v>
      </c>
      <c r="BG82" s="27">
        <f t="shared" si="46"/>
        <v>0</v>
      </c>
      <c r="BH82" s="27">
        <f t="shared" si="46"/>
        <v>0</v>
      </c>
      <c r="BI82" s="27">
        <f t="shared" si="46"/>
        <v>0</v>
      </c>
      <c r="BJ82" s="27">
        <f t="shared" si="46"/>
        <v>0</v>
      </c>
      <c r="BK82" s="27">
        <f t="shared" si="46"/>
        <v>0</v>
      </c>
      <c r="BL82" s="27">
        <f t="shared" si="46"/>
        <v>0</v>
      </c>
      <c r="BM82" s="27">
        <f t="shared" si="46"/>
        <v>0</v>
      </c>
      <c r="BN82" s="27">
        <f t="shared" si="46"/>
        <v>0</v>
      </c>
      <c r="BO82" s="27">
        <f t="shared" si="46"/>
        <v>0</v>
      </c>
    </row>
    <row r="83" spans="1:67" ht="15" customHeight="1" x14ac:dyDescent="0.2">
      <c r="A83" s="29" t="s">
        <v>231</v>
      </c>
      <c r="B83" s="69">
        <f t="shared" si="37"/>
        <v>658281.72814495012</v>
      </c>
      <c r="C83" s="69">
        <f t="shared" ref="C83:AH83" si="47">C81-C82</f>
        <v>12726.921609946454</v>
      </c>
      <c r="D83" s="69">
        <f t="shared" si="47"/>
        <v>12233.339308520668</v>
      </c>
      <c r="E83" s="69">
        <f t="shared" si="47"/>
        <v>12170.628732737687</v>
      </c>
      <c r="F83" s="69">
        <f t="shared" si="47"/>
        <v>11289.521078027439</v>
      </c>
      <c r="G83" s="69">
        <f t="shared" si="47"/>
        <v>12185.185757077623</v>
      </c>
      <c r="H83" s="69">
        <f t="shared" si="47"/>
        <v>14341.246733026559</v>
      </c>
      <c r="I83" s="69">
        <f t="shared" si="47"/>
        <v>13938.674438539987</v>
      </c>
      <c r="J83" s="69">
        <f t="shared" si="47"/>
        <v>13715.441030096064</v>
      </c>
      <c r="K83" s="69">
        <f t="shared" si="47"/>
        <v>13628.285702432533</v>
      </c>
      <c r="L83" s="69">
        <f t="shared" si="47"/>
        <v>13644.794329927701</v>
      </c>
      <c r="M83" s="69">
        <f t="shared" si="47"/>
        <v>13740.688426256724</v>
      </c>
      <c r="N83" s="69">
        <f t="shared" si="47"/>
        <v>13897.79187672531</v>
      </c>
      <c r="O83" s="69">
        <f t="shared" si="47"/>
        <v>14102.506000363002</v>
      </c>
      <c r="P83" s="69">
        <f t="shared" si="47"/>
        <v>14344.665859593248</v>
      </c>
      <c r="Q83" s="69">
        <f t="shared" si="47"/>
        <v>14489.065121987307</v>
      </c>
      <c r="R83" s="69">
        <f t="shared" si="47"/>
        <v>14785.282293546979</v>
      </c>
      <c r="S83" s="69">
        <f t="shared" si="47"/>
        <v>15101.493952822766</v>
      </c>
      <c r="T83" s="69">
        <f t="shared" si="47"/>
        <v>15434.582453497755</v>
      </c>
      <c r="U83" s="69">
        <f t="shared" si="47"/>
        <v>15782.247180346501</v>
      </c>
      <c r="V83" s="69">
        <f t="shared" si="47"/>
        <v>16020.569189185297</v>
      </c>
      <c r="W83" s="69">
        <f t="shared" si="47"/>
        <v>16392.786011551492</v>
      </c>
      <c r="X83" s="69">
        <f t="shared" si="47"/>
        <v>16775.78608155762</v>
      </c>
      <c r="Y83" s="69">
        <f t="shared" si="47"/>
        <v>17168.950336358332</v>
      </c>
      <c r="Z83" s="69">
        <f t="shared" si="47"/>
        <v>17571.856013800905</v>
      </c>
      <c r="AA83" s="69">
        <f t="shared" si="47"/>
        <v>17984.228407951701</v>
      </c>
      <c r="AB83" s="69">
        <f t="shared" si="47"/>
        <v>18392.377454361915</v>
      </c>
      <c r="AC83" s="69">
        <f t="shared" si="47"/>
        <v>18823.279613930485</v>
      </c>
      <c r="AD83" s="69">
        <f t="shared" si="47"/>
        <v>19218.016287718237</v>
      </c>
      <c r="AE83" s="69">
        <f t="shared" si="47"/>
        <v>17886.942910977854</v>
      </c>
      <c r="AF83" s="69">
        <f t="shared" si="47"/>
        <v>18208.134327156935</v>
      </c>
      <c r="AG83" s="69">
        <f t="shared" si="47"/>
        <v>18557.166551412534</v>
      </c>
      <c r="AH83" s="69">
        <f t="shared" si="47"/>
        <v>18929.242154967942</v>
      </c>
      <c r="AI83" s="69">
        <f t="shared" ref="AI83:BN83" si="48">AI81-AI82</f>
        <v>19320.806321705473</v>
      </c>
      <c r="AJ83" s="69">
        <f t="shared" si="48"/>
        <v>19729.237060111031</v>
      </c>
      <c r="AK83" s="69">
        <f t="shared" si="48"/>
        <v>20152.612879534641</v>
      </c>
      <c r="AL83" s="69">
        <f t="shared" si="48"/>
        <v>20589.538565034189</v>
      </c>
      <c r="AM83" s="69">
        <f t="shared" si="48"/>
        <v>16537.458594186963</v>
      </c>
      <c r="AN83" s="69">
        <f t="shared" si="48"/>
        <v>5227.1555811837452</v>
      </c>
      <c r="AO83" s="69">
        <f t="shared" si="48"/>
        <v>5271.7154918593178</v>
      </c>
      <c r="AP83" s="69">
        <f t="shared" si="48"/>
        <v>5337.2922013772168</v>
      </c>
      <c r="AQ83" s="68">
        <f t="shared" si="48"/>
        <v>5419.274645557085</v>
      </c>
      <c r="AR83" s="68">
        <f t="shared" si="48"/>
        <v>5514.2173889742589</v>
      </c>
      <c r="AS83" s="68">
        <f t="shared" si="48"/>
        <v>5619.5494750250582</v>
      </c>
      <c r="AT83" s="68">
        <f t="shared" si="48"/>
        <v>5733.356068620833</v>
      </c>
      <c r="AU83" s="68">
        <f t="shared" si="48"/>
        <v>5854.2146934564935</v>
      </c>
      <c r="AV83" s="68">
        <f t="shared" si="48"/>
        <v>5981.072415314844</v>
      </c>
      <c r="AW83" s="68">
        <f t="shared" si="48"/>
        <v>6113.1537350048457</v>
      </c>
      <c r="AX83" s="68">
        <f t="shared" si="48"/>
        <v>6249.8915136345113</v>
      </c>
      <c r="AY83" s="68">
        <f t="shared" si="48"/>
        <v>6149.4842879661755</v>
      </c>
      <c r="AZ83" s="68">
        <f t="shared" si="48"/>
        <v>0</v>
      </c>
      <c r="BA83" s="68">
        <f t="shared" si="48"/>
        <v>0</v>
      </c>
      <c r="BB83" s="68">
        <f t="shared" si="48"/>
        <v>0</v>
      </c>
      <c r="BC83" s="68">
        <f t="shared" si="48"/>
        <v>0</v>
      </c>
      <c r="BD83" s="68">
        <f t="shared" si="48"/>
        <v>0</v>
      </c>
      <c r="BE83" s="68">
        <f t="shared" si="48"/>
        <v>0</v>
      </c>
      <c r="BF83" s="68">
        <f t="shared" si="48"/>
        <v>0</v>
      </c>
      <c r="BG83" s="68">
        <f t="shared" si="48"/>
        <v>0</v>
      </c>
      <c r="BH83" s="68">
        <f t="shared" si="48"/>
        <v>0</v>
      </c>
      <c r="BI83" s="68">
        <f t="shared" si="48"/>
        <v>0</v>
      </c>
      <c r="BJ83" s="68">
        <f t="shared" si="48"/>
        <v>0</v>
      </c>
      <c r="BK83" s="68">
        <f t="shared" si="48"/>
        <v>0</v>
      </c>
      <c r="BL83" s="68">
        <f t="shared" si="48"/>
        <v>0</v>
      </c>
      <c r="BM83" s="68">
        <f t="shared" si="48"/>
        <v>0</v>
      </c>
      <c r="BN83" s="68">
        <f t="shared" si="48"/>
        <v>0</v>
      </c>
      <c r="BO83" s="68">
        <f t="shared" ref="BO83" si="49">BO81-BO82</f>
        <v>0</v>
      </c>
    </row>
    <row r="84" spans="1:67" ht="15" customHeight="1" x14ac:dyDescent="0.2">
      <c r="A84" s="14" t="s">
        <v>232</v>
      </c>
      <c r="B84" s="68">
        <f t="shared" si="37"/>
        <v>165974.18375829567</v>
      </c>
      <c r="C84" s="65">
        <f t="shared" ref="C84:AH84" si="50">C81*C$6</f>
        <v>12134.643631345227</v>
      </c>
      <c r="D84" s="65">
        <f t="shared" si="50"/>
        <v>10603.664883838181</v>
      </c>
      <c r="E84" s="65">
        <f t="shared" si="50"/>
        <v>9590.280317572624</v>
      </c>
      <c r="F84" s="65">
        <f t="shared" si="50"/>
        <v>8087.2546945144486</v>
      </c>
      <c r="G84" s="65">
        <f t="shared" si="50"/>
        <v>7935.3314407361095</v>
      </c>
      <c r="H84" s="65">
        <f t="shared" si="50"/>
        <v>8881.808783499986</v>
      </c>
      <c r="I84" s="65">
        <f t="shared" si="50"/>
        <v>8296.9417535849207</v>
      </c>
      <c r="J84" s="65">
        <f t="shared" si="50"/>
        <v>7749.05753495514</v>
      </c>
      <c r="K84" s="65">
        <f t="shared" si="50"/>
        <v>7235.9712843088419</v>
      </c>
      <c r="L84" s="65">
        <f t="shared" si="50"/>
        <v>6755.6111637024896</v>
      </c>
      <c r="M84" s="65">
        <f t="shared" si="50"/>
        <v>6306.0142940098349</v>
      </c>
      <c r="N84" s="65">
        <f t="shared" si="50"/>
        <v>5885.3226233994374</v>
      </c>
      <c r="O84" s="65">
        <f t="shared" si="50"/>
        <v>5491.778751490514</v>
      </c>
      <c r="P84" s="65">
        <f t="shared" si="50"/>
        <v>5123.7217437557792</v>
      </c>
      <c r="Q84" s="65">
        <f t="shared" si="50"/>
        <v>4734.1210864636541</v>
      </c>
      <c r="R84" s="65">
        <f t="shared" si="50"/>
        <v>4416.5529782074773</v>
      </c>
      <c r="S84" s="65">
        <f t="shared" si="50"/>
        <v>4119.6505862678432</v>
      </c>
      <c r="T84" s="65">
        <f t="shared" si="50"/>
        <v>3842.1318718310076</v>
      </c>
      <c r="U84" s="65">
        <f t="shared" si="50"/>
        <v>3582.7879514176011</v>
      </c>
      <c r="V84" s="65">
        <f t="shared" si="50"/>
        <v>3313.4426011675973</v>
      </c>
      <c r="W84" s="65">
        <f t="shared" si="50"/>
        <v>3089.5547641473891</v>
      </c>
      <c r="X84" s="65">
        <f t="shared" si="50"/>
        <v>2880.3960601194613</v>
      </c>
      <c r="Y84" s="65">
        <f t="shared" si="50"/>
        <v>2685.0365174835588</v>
      </c>
      <c r="Z84" s="65">
        <f t="shared" si="50"/>
        <v>2502.6009591129073</v>
      </c>
      <c r="AA84" s="65">
        <f t="shared" si="50"/>
        <v>2332.2661845583875</v>
      </c>
      <c r="AB84" s="65">
        <f t="shared" si="50"/>
        <v>2171.5692595894398</v>
      </c>
      <c r="AC84" s="65">
        <f t="shared" si="50"/>
        <v>2023.3144090895228</v>
      </c>
      <c r="AD84" s="65">
        <f t="shared" si="50"/>
        <v>1880.5153541980512</v>
      </c>
      <c r="AE84" s="65">
        <f t="shared" si="50"/>
        <v>1594.6154645309277</v>
      </c>
      <c r="AF84" s="65">
        <f t="shared" si="50"/>
        <v>1483.8062248429133</v>
      </c>
      <c r="AG84" s="65">
        <f t="shared" si="50"/>
        <v>1380.5864940325685</v>
      </c>
      <c r="AH84" s="65">
        <f t="shared" si="50"/>
        <v>1284.4469755376817</v>
      </c>
      <c r="AI84" s="65">
        <f t="shared" ref="AI84:BO84" si="51">AI81*AI$6</f>
        <v>1194.9115336624041</v>
      </c>
      <c r="AJ84" s="65">
        <f t="shared" si="51"/>
        <v>1111.5351345036586</v>
      </c>
      <c r="AK84" s="65">
        <f t="shared" si="51"/>
        <v>1033.9019045714685</v>
      </c>
      <c r="AL84" s="65">
        <f t="shared" si="51"/>
        <v>961.62330145791032</v>
      </c>
      <c r="AM84" s="65">
        <f t="shared" si="51"/>
        <v>698.53683109262249</v>
      </c>
      <c r="AN84" s="65">
        <f t="shared" si="51"/>
        <v>189.02108090534557</v>
      </c>
      <c r="AO84" s="65">
        <f t="shared" si="51"/>
        <v>176.14481212608175</v>
      </c>
      <c r="AP84" s="65">
        <f t="shared" si="51"/>
        <v>164.12584299231494</v>
      </c>
      <c r="AQ84" s="65">
        <f t="shared" si="51"/>
        <v>152.90902046307482</v>
      </c>
      <c r="AR84" s="65">
        <f t="shared" si="51"/>
        <v>142.44254844362891</v>
      </c>
      <c r="AS84" s="65">
        <f t="shared" si="51"/>
        <v>132.67780311521258</v>
      </c>
      <c r="AT84" s="65">
        <f t="shared" si="51"/>
        <v>123.56915628884354</v>
      </c>
      <c r="AU84" s="65">
        <f t="shared" si="51"/>
        <v>115.07380669115172</v>
      </c>
      <c r="AV84" s="65">
        <f t="shared" si="51"/>
        <v>107.15161905216422</v>
      </c>
      <c r="AW84" s="65">
        <f t="shared" si="51"/>
        <v>99.764970833829906</v>
      </c>
      <c r="AX84" s="65">
        <f t="shared" si="51"/>
        <v>92.8786064128616</v>
      </c>
      <c r="AY84" s="65">
        <f t="shared" si="51"/>
        <v>83.117142371610356</v>
      </c>
      <c r="AZ84" s="65">
        <f t="shared" si="51"/>
        <v>0</v>
      </c>
      <c r="BA84" s="65">
        <f t="shared" si="51"/>
        <v>0</v>
      </c>
      <c r="BB84" s="65">
        <f t="shared" si="51"/>
        <v>0</v>
      </c>
      <c r="BC84" s="65">
        <f t="shared" si="51"/>
        <v>0</v>
      </c>
      <c r="BD84" s="65">
        <f t="shared" si="51"/>
        <v>0</v>
      </c>
      <c r="BE84" s="65">
        <f t="shared" si="51"/>
        <v>0</v>
      </c>
      <c r="BF84" s="65">
        <f t="shared" si="51"/>
        <v>0</v>
      </c>
      <c r="BG84" s="65">
        <f t="shared" si="51"/>
        <v>0</v>
      </c>
      <c r="BH84" s="65">
        <f t="shared" si="51"/>
        <v>0</v>
      </c>
      <c r="BI84" s="65">
        <f t="shared" si="51"/>
        <v>0</v>
      </c>
      <c r="BJ84" s="65">
        <f t="shared" si="51"/>
        <v>0</v>
      </c>
      <c r="BK84" s="65">
        <f t="shared" si="51"/>
        <v>0</v>
      </c>
      <c r="BL84" s="65">
        <f t="shared" si="51"/>
        <v>0</v>
      </c>
      <c r="BM84" s="65">
        <f t="shared" si="51"/>
        <v>0</v>
      </c>
      <c r="BN84" s="65">
        <f t="shared" si="51"/>
        <v>0</v>
      </c>
      <c r="BO84" s="65">
        <f t="shared" si="51"/>
        <v>0</v>
      </c>
    </row>
    <row r="85" spans="1:67" ht="15" customHeight="1" x14ac:dyDescent="0.2">
      <c r="A85" s="29" t="s">
        <v>233</v>
      </c>
      <c r="B85" s="69">
        <f t="shared" si="37"/>
        <v>142517.19142993746</v>
      </c>
      <c r="C85" s="69">
        <f t="shared" ref="C85:AH85" si="52">C83*C$6</f>
        <v>12134.643631345227</v>
      </c>
      <c r="D85" s="69">
        <f t="shared" si="52"/>
        <v>10603.664883838181</v>
      </c>
      <c r="E85" s="69">
        <f t="shared" si="52"/>
        <v>9590.280317572624</v>
      </c>
      <c r="F85" s="69">
        <f t="shared" si="52"/>
        <v>8087.2546945144486</v>
      </c>
      <c r="G85" s="69">
        <f t="shared" si="52"/>
        <v>7935.3314407361095</v>
      </c>
      <c r="H85" s="69">
        <f t="shared" si="52"/>
        <v>8490.3802168762631</v>
      </c>
      <c r="I85" s="69">
        <f t="shared" si="52"/>
        <v>7501.8611387480769</v>
      </c>
      <c r="J85" s="69">
        <f t="shared" si="52"/>
        <v>6710.6507749126949</v>
      </c>
      <c r="K85" s="69">
        <f t="shared" si="52"/>
        <v>6061.8251561128454</v>
      </c>
      <c r="L85" s="69">
        <f t="shared" si="52"/>
        <v>5517.4255905647378</v>
      </c>
      <c r="M85" s="69">
        <f t="shared" si="52"/>
        <v>5051.0922215502296</v>
      </c>
      <c r="N85" s="69">
        <f t="shared" si="52"/>
        <v>4644.4032938440814</v>
      </c>
      <c r="O85" s="69">
        <f t="shared" si="52"/>
        <v>4284.3774883293891</v>
      </c>
      <c r="P85" s="69">
        <f t="shared" si="52"/>
        <v>3961.7693405223995</v>
      </c>
      <c r="Q85" s="69">
        <f t="shared" si="52"/>
        <v>3637.8637527249402</v>
      </c>
      <c r="R85" s="69">
        <f t="shared" si="52"/>
        <v>3374.760839336087</v>
      </c>
      <c r="S85" s="69">
        <f t="shared" si="52"/>
        <v>3133.5787105790982</v>
      </c>
      <c r="T85" s="69">
        <f t="shared" si="52"/>
        <v>2911.540897516049</v>
      </c>
      <c r="U85" s="69">
        <f t="shared" si="52"/>
        <v>2706.4759082245168</v>
      </c>
      <c r="V85" s="69">
        <f t="shared" si="52"/>
        <v>2497.5867476630747</v>
      </c>
      <c r="W85" s="69">
        <f t="shared" si="52"/>
        <v>2323.2862598668044</v>
      </c>
      <c r="X85" s="69">
        <f t="shared" si="52"/>
        <v>2161.4248916501301</v>
      </c>
      <c r="Y85" s="69">
        <f t="shared" si="52"/>
        <v>2010.9826714255519</v>
      </c>
      <c r="Z85" s="69">
        <f t="shared" si="52"/>
        <v>1871.0678424107741</v>
      </c>
      <c r="AA85" s="69">
        <f t="shared" si="52"/>
        <v>1740.8887680318467</v>
      </c>
      <c r="AB85" s="69">
        <f t="shared" si="52"/>
        <v>1618.5435877675422</v>
      </c>
      <c r="AC85" s="69">
        <f t="shared" si="52"/>
        <v>1505.8757404691405</v>
      </c>
      <c r="AD85" s="69">
        <f t="shared" si="52"/>
        <v>1397.6863225257714</v>
      </c>
      <c r="AE85" s="69">
        <f t="shared" si="52"/>
        <v>1182.6182967721591</v>
      </c>
      <c r="AF85" s="69">
        <f t="shared" si="52"/>
        <v>1094.4129831337511</v>
      </c>
      <c r="AG85" s="69">
        <f t="shared" si="52"/>
        <v>1013.9925595457449</v>
      </c>
      <c r="AH85" s="69">
        <f t="shared" si="52"/>
        <v>940.29395596672327</v>
      </c>
      <c r="AI85" s="69">
        <f t="shared" ref="AI85:BO85" si="53">AI83*AI$6</f>
        <v>872.4950653776682</v>
      </c>
      <c r="AJ85" s="69">
        <f t="shared" si="53"/>
        <v>809.94464497792478</v>
      </c>
      <c r="AK85" s="69">
        <f t="shared" si="53"/>
        <v>752.11408946763777</v>
      </c>
      <c r="AL85" s="69">
        <f t="shared" si="53"/>
        <v>698.56414437389515</v>
      </c>
      <c r="AM85" s="69">
        <f t="shared" si="53"/>
        <v>510.07702402218575</v>
      </c>
      <c r="AN85" s="69">
        <f t="shared" si="53"/>
        <v>146.56819287316014</v>
      </c>
      <c r="AO85" s="69">
        <f t="shared" si="53"/>
        <v>134.37967465076858</v>
      </c>
      <c r="AP85" s="69">
        <f t="shared" si="53"/>
        <v>123.68297303612849</v>
      </c>
      <c r="AQ85" s="68">
        <f t="shared" si="53"/>
        <v>114.16616492072977</v>
      </c>
      <c r="AR85" s="68">
        <f t="shared" si="53"/>
        <v>105.6057218342626</v>
      </c>
      <c r="AS85" s="68">
        <f t="shared" si="53"/>
        <v>97.839084420046163</v>
      </c>
      <c r="AT85" s="68">
        <f t="shared" si="53"/>
        <v>90.745920420875663</v>
      </c>
      <c r="AU85" s="68">
        <f t="shared" si="53"/>
        <v>84.235305614245888</v>
      </c>
      <c r="AV85" s="68">
        <f t="shared" si="53"/>
        <v>78.236945390677263</v>
      </c>
      <c r="AW85" s="68">
        <f t="shared" si="53"/>
        <v>72.695153480524596</v>
      </c>
      <c r="AX85" s="68">
        <f t="shared" si="53"/>
        <v>67.564712617331949</v>
      </c>
      <c r="AY85" s="68">
        <f t="shared" si="53"/>
        <v>60.435687382415914</v>
      </c>
      <c r="AZ85" s="68">
        <f t="shared" si="53"/>
        <v>0</v>
      </c>
      <c r="BA85" s="68">
        <f t="shared" si="53"/>
        <v>0</v>
      </c>
      <c r="BB85" s="68">
        <f t="shared" si="53"/>
        <v>0</v>
      </c>
      <c r="BC85" s="68">
        <f t="shared" si="53"/>
        <v>0</v>
      </c>
      <c r="BD85" s="68">
        <f t="shared" si="53"/>
        <v>0</v>
      </c>
      <c r="BE85" s="68">
        <f t="shared" si="53"/>
        <v>0</v>
      </c>
      <c r="BF85" s="68">
        <f t="shared" si="53"/>
        <v>0</v>
      </c>
      <c r="BG85" s="68">
        <f t="shared" si="53"/>
        <v>0</v>
      </c>
      <c r="BH85" s="68">
        <f t="shared" si="53"/>
        <v>0</v>
      </c>
      <c r="BI85" s="68">
        <f t="shared" si="53"/>
        <v>0</v>
      </c>
      <c r="BJ85" s="68">
        <f t="shared" si="53"/>
        <v>0</v>
      </c>
      <c r="BK85" s="68">
        <f t="shared" si="53"/>
        <v>0</v>
      </c>
      <c r="BL85" s="68">
        <f t="shared" si="53"/>
        <v>0</v>
      </c>
      <c r="BM85" s="68">
        <f t="shared" si="53"/>
        <v>0</v>
      </c>
      <c r="BN85" s="68">
        <f t="shared" si="53"/>
        <v>0</v>
      </c>
      <c r="BO85" s="68">
        <f t="shared" si="53"/>
        <v>0</v>
      </c>
    </row>
    <row r="87" spans="1:67" ht="15" customHeight="1" x14ac:dyDescent="0.2">
      <c r="A87" s="29" t="s">
        <v>282</v>
      </c>
      <c r="B87" s="6"/>
      <c r="C87" s="6"/>
      <c r="D87" s="6"/>
      <c r="E87" s="6"/>
      <c r="F87" s="6"/>
    </row>
    <row r="88" spans="1:67" ht="15" customHeight="1" x14ac:dyDescent="0.2">
      <c r="A88" s="74" t="s">
        <v>235</v>
      </c>
      <c r="B88" s="74" t="s">
        <v>236</v>
      </c>
      <c r="C88" s="74" t="s">
        <v>237</v>
      </c>
      <c r="D88" s="74" t="s">
        <v>238</v>
      </c>
      <c r="E88" s="74" t="s">
        <v>239</v>
      </c>
    </row>
    <row r="89" spans="1:67" ht="15" customHeight="1" x14ac:dyDescent="0.2">
      <c r="A89" s="14" t="s">
        <v>283</v>
      </c>
      <c r="B89" s="27">
        <f>'Model Inputs'!B143</f>
        <v>20750.333333333332</v>
      </c>
      <c r="C89" s="75">
        <v>20750</v>
      </c>
      <c r="D89" s="65">
        <f t="shared" ref="D89:D98" si="54">B89-C89</f>
        <v>0.33333333333212067</v>
      </c>
      <c r="E89" s="76">
        <f t="shared" ref="E89:E98" si="55">IF(C89=0,"",B89/C89-1)</f>
        <v>1.6064257028158835E-5</v>
      </c>
    </row>
    <row r="90" spans="1:67" ht="15" customHeight="1" x14ac:dyDescent="0.2">
      <c r="A90" s="14" t="s">
        <v>284</v>
      </c>
      <c r="B90" s="62">
        <f>'Model Inputs'!B150</f>
        <v>35.209010064599987</v>
      </c>
      <c r="C90" s="77">
        <v>40</v>
      </c>
      <c r="D90" s="64">
        <f t="shared" si="54"/>
        <v>-4.7909899354000132</v>
      </c>
      <c r="E90" s="76">
        <f t="shared" si="55"/>
        <v>-0.11977474838500035</v>
      </c>
    </row>
    <row r="91" spans="1:67" ht="15" customHeight="1" x14ac:dyDescent="0.2">
      <c r="A91" s="14" t="s">
        <v>242</v>
      </c>
      <c r="B91" s="65">
        <f>B48</f>
        <v>1963904.8594836297</v>
      </c>
      <c r="C91" s="27">
        <f>'Model Inputs'!B159</f>
        <v>1928685</v>
      </c>
      <c r="D91" s="65">
        <f t="shared" si="54"/>
        <v>35219.859483629698</v>
      </c>
      <c r="E91" s="76">
        <f t="shared" si="55"/>
        <v>1.8261073987525078E-2</v>
      </c>
    </row>
    <row r="92" spans="1:67" ht="15" customHeight="1" x14ac:dyDescent="0.2">
      <c r="A92" s="14" t="s">
        <v>243</v>
      </c>
      <c r="B92" s="65">
        <f>B61</f>
        <v>396841.64778872806</v>
      </c>
      <c r="C92" s="27">
        <f>'Model Inputs'!B161</f>
        <v>376181</v>
      </c>
      <c r="D92" s="65">
        <f t="shared" si="54"/>
        <v>20660.647788728063</v>
      </c>
      <c r="E92" s="76">
        <f t="shared" si="55"/>
        <v>5.4922092792374144E-2</v>
      </c>
    </row>
    <row r="93" spans="1:67" ht="15" customHeight="1" x14ac:dyDescent="0.2">
      <c r="A93" s="14" t="s">
        <v>244</v>
      </c>
      <c r="B93" s="65">
        <f>B75</f>
        <v>565089.48354995204</v>
      </c>
      <c r="C93" s="27">
        <f>'Model Inputs'!B162</f>
        <v>565088</v>
      </c>
      <c r="D93" s="65">
        <f t="shared" si="54"/>
        <v>1.4835499520413578</v>
      </c>
      <c r="E93" s="76">
        <f t="shared" si="55"/>
        <v>2.6253432245937347E-6</v>
      </c>
    </row>
    <row r="94" spans="1:67" ht="15" customHeight="1" x14ac:dyDescent="0.2">
      <c r="A94" s="14" t="s">
        <v>245</v>
      </c>
      <c r="B94" s="65">
        <f t="shared" ref="B94:B100" si="56">B79</f>
        <v>129904.9999999999</v>
      </c>
      <c r="C94" s="27">
        <f>'Model Inputs'!B163</f>
        <v>129906</v>
      </c>
      <c r="D94" s="65">
        <f t="shared" si="54"/>
        <v>-1.0000000001018634</v>
      </c>
      <c r="E94" s="76">
        <f t="shared" si="55"/>
        <v>-7.6978738480226738E-6</v>
      </c>
    </row>
    <row r="95" spans="1:67" ht="15" customHeight="1" x14ac:dyDescent="0.2">
      <c r="A95" s="14" t="s">
        <v>246</v>
      </c>
      <c r="B95" s="65">
        <f t="shared" si="56"/>
        <v>25121.999999999996</v>
      </c>
      <c r="C95" s="27">
        <f>'Model Inputs'!B164</f>
        <v>25122</v>
      </c>
      <c r="D95" s="65">
        <f t="shared" si="54"/>
        <v>0</v>
      </c>
      <c r="E95" s="76">
        <f t="shared" si="55"/>
        <v>-1.1102230246251565E-16</v>
      </c>
    </row>
    <row r="96" spans="1:67" ht="15" customHeight="1" x14ac:dyDescent="0.2">
      <c r="A96" s="14" t="s">
        <v>247</v>
      </c>
      <c r="B96" s="65">
        <f t="shared" si="56"/>
        <v>846946.72814495035</v>
      </c>
      <c r="C96" s="27">
        <f>'Model Inputs'!B158</f>
        <v>832388</v>
      </c>
      <c r="D96" s="65">
        <f t="shared" si="54"/>
        <v>14558.72814495035</v>
      </c>
      <c r="E96" s="76">
        <f t="shared" si="55"/>
        <v>1.7490314787034889E-2</v>
      </c>
    </row>
    <row r="97" spans="1:6" ht="15" customHeight="1" x14ac:dyDescent="0.2">
      <c r="A97" s="14" t="s">
        <v>248</v>
      </c>
      <c r="B97" s="65">
        <f t="shared" si="56"/>
        <v>188664.99999999994</v>
      </c>
      <c r="C97" s="27">
        <f>'Model Inputs'!B160</f>
        <v>188665</v>
      </c>
      <c r="D97" s="65">
        <f t="shared" si="54"/>
        <v>0</v>
      </c>
      <c r="E97" s="76">
        <f t="shared" si="55"/>
        <v>-3.3306690738754696E-16</v>
      </c>
    </row>
    <row r="98" spans="1:6" ht="15" customHeight="1" x14ac:dyDescent="0.2">
      <c r="A98" s="14" t="s">
        <v>249</v>
      </c>
      <c r="B98" s="65">
        <f t="shared" si="56"/>
        <v>658281.72814495012</v>
      </c>
      <c r="C98" s="27">
        <f>'Model Inputs'!B165</f>
        <v>643722</v>
      </c>
      <c r="D98" s="65">
        <f t="shared" si="54"/>
        <v>14559.728144950117</v>
      </c>
      <c r="E98" s="76">
        <f t="shared" si="55"/>
        <v>2.26180372038709E-2</v>
      </c>
    </row>
    <row r="99" spans="1:6" ht="15" customHeight="1" x14ac:dyDescent="0.2">
      <c r="A99" s="14" t="s">
        <v>250</v>
      </c>
      <c r="B99" s="65">
        <f t="shared" si="56"/>
        <v>165974.18375829567</v>
      </c>
      <c r="C99" s="27">
        <f>'Model Inputs'!B166</f>
        <v>191000</v>
      </c>
      <c r="D99" s="65">
        <f>IF(C99="","",B99-C99)</f>
        <v>-25025.816241704335</v>
      </c>
      <c r="E99" s="76">
        <f>IF(OR(C99="",C99=0),"",B99/C99-1)</f>
        <v>-0.13102521592515359</v>
      </c>
    </row>
    <row r="100" spans="1:6" ht="15" customHeight="1" x14ac:dyDescent="0.2">
      <c r="A100" s="14" t="s">
        <v>251</v>
      </c>
      <c r="B100" s="65">
        <f t="shared" si="56"/>
        <v>142517.19142993746</v>
      </c>
      <c r="C100" s="27">
        <f>'Model Inputs'!B167</f>
        <v>0</v>
      </c>
      <c r="D100" s="65">
        <f>IF(C100="","",B100-C100)</f>
        <v>142517.19142993746</v>
      </c>
      <c r="E100" s="76" t="str">
        <f>IF(OR(C100="",C100=0),"",B100/C100-1)</f>
        <v/>
      </c>
    </row>
    <row r="101" spans="1:6" ht="15.75" customHeight="1" x14ac:dyDescent="0.2">
      <c r="A101" s="1" t="s">
        <v>252</v>
      </c>
    </row>
    <row r="102" spans="1:6" ht="15" customHeight="1" x14ac:dyDescent="0.2">
      <c r="A102" s="78"/>
      <c r="B102" s="6"/>
      <c r="C102" s="6"/>
      <c r="D102" s="6"/>
      <c r="E102" s="6"/>
      <c r="F102" s="6"/>
    </row>
    <row r="103" spans="1:6" ht="15" customHeight="1" x14ac:dyDescent="0.2">
      <c r="A103" s="14" t="s">
        <v>285</v>
      </c>
      <c r="B103" s="67">
        <f>B85</f>
        <v>142517.19142993746</v>
      </c>
    </row>
    <row r="104" spans="1:6" ht="15" customHeight="1" x14ac:dyDescent="0.2">
      <c r="A104" s="14" t="s">
        <v>254</v>
      </c>
      <c r="B104" s="27">
        <f>'Model Inputs'!B104</f>
        <v>690</v>
      </c>
    </row>
    <row r="105" spans="1:6" ht="15" customHeight="1" x14ac:dyDescent="0.2">
      <c r="A105" s="14" t="s">
        <v>255</v>
      </c>
      <c r="B105" s="27">
        <f>'Model Inputs'!B105</f>
        <v>0</v>
      </c>
    </row>
    <row r="106" spans="1:6" ht="15" customHeight="1" x14ac:dyDescent="0.2">
      <c r="A106" s="14" t="s">
        <v>256</v>
      </c>
      <c r="B106" s="27">
        <f>-'Model Inputs'!B110</f>
        <v>-2048.884667730721</v>
      </c>
    </row>
    <row r="107" spans="1:6" ht="15" customHeight="1" x14ac:dyDescent="0.2">
      <c r="A107" s="14" t="s">
        <v>257</v>
      </c>
      <c r="B107" s="27">
        <f>-'Model Inputs'!B18</f>
        <v>-3106</v>
      </c>
    </row>
    <row r="108" spans="1:6" ht="15" customHeight="1" x14ac:dyDescent="0.2">
      <c r="A108" s="14" t="s">
        <v>258</v>
      </c>
      <c r="B108" s="27">
        <f>-'Model Inputs'!B116</f>
        <v>-1656.3100000000002</v>
      </c>
    </row>
    <row r="109" spans="1:6" ht="15" customHeight="1" x14ac:dyDescent="0.2">
      <c r="A109" s="14" t="s">
        <v>259</v>
      </c>
      <c r="B109" s="27">
        <f>-'Model Inputs'!B179</f>
        <v>-7280.9733289106416</v>
      </c>
    </row>
    <row r="110" spans="1:6" ht="15" customHeight="1" x14ac:dyDescent="0.2">
      <c r="A110" s="14" t="s">
        <v>260</v>
      </c>
      <c r="B110" s="27">
        <f>'Model Inputs'!B17</f>
        <v>0</v>
      </c>
    </row>
    <row r="111" spans="1:6" ht="15.75" customHeight="1" x14ac:dyDescent="0.2">
      <c r="A111" s="14" t="s">
        <v>261</v>
      </c>
      <c r="B111" s="27">
        <f>-'Model Inputs'!B14</f>
        <v>-14500</v>
      </c>
    </row>
    <row r="112" spans="1:6" ht="15.75" customHeight="1" x14ac:dyDescent="0.2">
      <c r="A112" s="25" t="s">
        <v>286</v>
      </c>
      <c r="B112" s="69">
        <f>SUM(B103:B111)</f>
        <v>114615.02343329611</v>
      </c>
    </row>
    <row r="113" spans="1:67" ht="15.75" customHeight="1" x14ac:dyDescent="0.2">
      <c r="A113" s="14" t="s">
        <v>156</v>
      </c>
      <c r="B113" s="27">
        <f>'Model Inputs'!B15</f>
        <v>2085.9720000000002</v>
      </c>
    </row>
    <row r="114" spans="1:67" ht="15.75" customHeight="1" x14ac:dyDescent="0.2">
      <c r="A114" s="25" t="s">
        <v>287</v>
      </c>
      <c r="B114" s="79">
        <f>B112/B113</f>
        <v>54.945619324370654</v>
      </c>
    </row>
    <row r="115" spans="1:67" ht="15.75" customHeight="1" x14ac:dyDescent="0.2">
      <c r="A115" s="1" t="s">
        <v>288</v>
      </c>
    </row>
    <row r="117" spans="1:67" ht="15.75" customHeight="1" x14ac:dyDescent="0.2">
      <c r="A117" s="80" t="s">
        <v>265</v>
      </c>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row>
    <row r="118" spans="1:67" ht="15.75" customHeight="1" x14ac:dyDescent="0.2">
      <c r="A118" s="12" t="s">
        <v>266</v>
      </c>
      <c r="B118" s="81">
        <f>SUM(C118:BO118)</f>
        <v>8465.4735506256948</v>
      </c>
      <c r="C118" s="82">
        <f>IF(C$5&lt;='Model Inputs'!$B$315,'Model Inputs'!$B$316*'Model Inputs'!$B$320*IF('Model Inputs'!$B$318=1,1.02^(C$5-1),1)+IF(C$5&gt;='Model Inputs'!$B$322,'Model Inputs'!$B$324,0),0)</f>
        <v>160.062890555975</v>
      </c>
      <c r="D118" s="82">
        <f>IF(D$5&lt;='Model Inputs'!$B$315,'Model Inputs'!$B$316*'Model Inputs'!$B$320*IF('Model Inputs'!$B$318=1,1.02^(D$5-1),1)+IF(D$5&gt;='Model Inputs'!$B$322,'Model Inputs'!$B$324,0),0)</f>
        <v>163.26414836709449</v>
      </c>
      <c r="E118" s="82">
        <f>IF(E$5&lt;='Model Inputs'!$B$315,'Model Inputs'!$B$316*'Model Inputs'!$B$320*IF('Model Inputs'!$B$318=1,1.02^(E$5-1),1)+IF(E$5&gt;='Model Inputs'!$B$322,'Model Inputs'!$B$324,0),0)</f>
        <v>166.5294313344364</v>
      </c>
      <c r="F118" s="82">
        <f>IF(F$5&lt;='Model Inputs'!$B$315,'Model Inputs'!$B$316*'Model Inputs'!$B$320*IF('Model Inputs'!$B$318=1,1.02^(F$5-1),1)+IF(F$5&gt;='Model Inputs'!$B$322,'Model Inputs'!$B$324,0),0)</f>
        <v>169.86001996112512</v>
      </c>
      <c r="G118" s="82">
        <f>IF(G$5&lt;='Model Inputs'!$B$315,'Model Inputs'!$B$316*'Model Inputs'!$B$320*IF('Model Inputs'!$B$318=1,1.02^(G$5-1),1)+IF(G$5&gt;='Model Inputs'!$B$322,'Model Inputs'!$B$324,0),0)</f>
        <v>173.25722036034762</v>
      </c>
      <c r="H118" s="82">
        <f>IF(H$5&lt;='Model Inputs'!$B$315,'Model Inputs'!$B$316*'Model Inputs'!$B$320*IF('Model Inputs'!$B$318=1,1.02^(H$5-1),1)+IF(H$5&gt;='Model Inputs'!$B$322,'Model Inputs'!$B$324,0),0)</f>
        <v>176.72236476755458</v>
      </c>
      <c r="I118" s="82">
        <f>IF(I$5&lt;='Model Inputs'!$B$315,'Model Inputs'!$B$316*'Model Inputs'!$B$320*IF('Model Inputs'!$B$318=1,1.02^(I$5-1),1)+IF(I$5&gt;='Model Inputs'!$B$322,'Model Inputs'!$B$324,0),0)</f>
        <v>180.25681206290568</v>
      </c>
      <c r="J118" s="82">
        <f>IF(J$5&lt;='Model Inputs'!$B$315,'Model Inputs'!$B$316*'Model Inputs'!$B$320*IF('Model Inputs'!$B$318=1,1.02^(J$5-1),1)+IF(J$5&gt;='Model Inputs'!$B$322,'Model Inputs'!$B$324,0),0)</f>
        <v>183.86194830416375</v>
      </c>
      <c r="K118" s="82">
        <f>IF(K$5&lt;='Model Inputs'!$B$315,'Model Inputs'!$B$316*'Model Inputs'!$B$320*IF('Model Inputs'!$B$318=1,1.02^(K$5-1),1)+IF(K$5&gt;='Model Inputs'!$B$322,'Model Inputs'!$B$324,0),0)</f>
        <v>187.53918727024706</v>
      </c>
      <c r="L118" s="82">
        <f>IF(L$5&lt;='Model Inputs'!$B$315,'Model Inputs'!$B$316*'Model Inputs'!$B$320*IF('Model Inputs'!$B$318=1,1.02^(L$5-1),1)+IF(L$5&gt;='Model Inputs'!$B$322,'Model Inputs'!$B$324,0),0)</f>
        <v>191.28997101565199</v>
      </c>
      <c r="M118" s="82">
        <f>IF(M$5&lt;='Model Inputs'!$B$315,'Model Inputs'!$B$316*'Model Inputs'!$B$320*IF('Model Inputs'!$B$318=1,1.02^(M$5-1),1)+IF(M$5&gt;='Model Inputs'!$B$322,'Model Inputs'!$B$324,0),0)</f>
        <v>195.11577043596503</v>
      </c>
      <c r="N118" s="82">
        <f>IF(N$5&lt;='Model Inputs'!$B$315,'Model Inputs'!$B$316*'Model Inputs'!$B$320*IF('Model Inputs'!$B$318=1,1.02^(N$5-1),1)+IF(N$5&gt;='Model Inputs'!$B$322,'Model Inputs'!$B$324,0),0)</f>
        <v>199.01808584468429</v>
      </c>
      <c r="O118" s="82">
        <f>IF(O$5&lt;='Model Inputs'!$B$315,'Model Inputs'!$B$316*'Model Inputs'!$B$320*IF('Model Inputs'!$B$318=1,1.02^(O$5-1),1)+IF(O$5&gt;='Model Inputs'!$B$322,'Model Inputs'!$B$324,0),0)</f>
        <v>202.99844756157802</v>
      </c>
      <c r="P118" s="82">
        <f>IF(P$5&lt;='Model Inputs'!$B$315,'Model Inputs'!$B$316*'Model Inputs'!$B$320*IF('Model Inputs'!$B$318=1,1.02^(P$5-1),1)+IF(P$5&gt;='Model Inputs'!$B$322,'Model Inputs'!$B$324,0),0)</f>
        <v>207.05841651280957</v>
      </c>
      <c r="Q118" s="82">
        <f>IF(Q$5&lt;='Model Inputs'!$B$315,'Model Inputs'!$B$316*'Model Inputs'!$B$320*IF('Model Inputs'!$B$318=1,1.02^(Q$5-1),1)+IF(Q$5&gt;='Model Inputs'!$B$322,'Model Inputs'!$B$324,0),0)</f>
        <v>392.26742270152408</v>
      </c>
      <c r="R118" s="82">
        <f>IF(R$5&lt;='Model Inputs'!$B$315,'Model Inputs'!$B$316*'Model Inputs'!$B$320*IF('Model Inputs'!$B$318=1,1.02^(R$5-1),1)+IF(R$5&gt;='Model Inputs'!$B$322,'Model Inputs'!$B$324,0),0)</f>
        <v>396.49141439838536</v>
      </c>
      <c r="S118" s="82">
        <f>IF(S$5&lt;='Model Inputs'!$B$315,'Model Inputs'!$B$316*'Model Inputs'!$B$320*IF('Model Inputs'!$B$318=1,1.02^(S$5-1),1)+IF(S$5&gt;='Model Inputs'!$B$322,'Model Inputs'!$B$324,0),0)</f>
        <v>400.79988592918392</v>
      </c>
      <c r="T118" s="82">
        <f>IF(T$5&lt;='Model Inputs'!$B$315,'Model Inputs'!$B$316*'Model Inputs'!$B$320*IF('Model Inputs'!$B$318=1,1.02^(T$5-1),1)+IF(T$5&gt;='Model Inputs'!$B$322,'Model Inputs'!$B$324,0),0)</f>
        <v>405.19452689059847</v>
      </c>
      <c r="U118" s="82">
        <f>IF(U$5&lt;='Model Inputs'!$B$315,'Model Inputs'!$B$316*'Model Inputs'!$B$320*IF('Model Inputs'!$B$318=1,1.02^(U$5-1),1)+IF(U$5&gt;='Model Inputs'!$B$322,'Model Inputs'!$B$324,0),0)</f>
        <v>409.67706067124124</v>
      </c>
      <c r="V118" s="82">
        <f>IF(V$5&lt;='Model Inputs'!$B$315,'Model Inputs'!$B$316*'Model Inputs'!$B$320*IF('Model Inputs'!$B$318=1,1.02^(V$5-1),1)+IF(V$5&gt;='Model Inputs'!$B$322,'Model Inputs'!$B$324,0),0)</f>
        <v>414.24924512749692</v>
      </c>
      <c r="W118" s="82">
        <f>IF(W$5&lt;='Model Inputs'!$B$315,'Model Inputs'!$B$316*'Model Inputs'!$B$320*IF('Model Inputs'!$B$318=1,1.02^(W$5-1),1)+IF(W$5&gt;='Model Inputs'!$B$322,'Model Inputs'!$B$324,0),0)</f>
        <v>418.91287327287768</v>
      </c>
      <c r="X118" s="82">
        <f>IF(X$5&lt;='Model Inputs'!$B$315,'Model Inputs'!$B$316*'Model Inputs'!$B$320*IF('Model Inputs'!$B$318=1,1.02^(X$5-1),1)+IF(X$5&gt;='Model Inputs'!$B$322,'Model Inputs'!$B$324,0),0)</f>
        <v>423.66977398116603</v>
      </c>
      <c r="Y118" s="82">
        <f>IF(Y$5&lt;='Model Inputs'!$B$315,'Model Inputs'!$B$316*'Model Inputs'!$B$320*IF('Model Inputs'!$B$318=1,1.02^(Y$5-1),1)+IF(Y$5&gt;='Model Inputs'!$B$322,'Model Inputs'!$B$324,0),0)</f>
        <v>428.52181270362018</v>
      </c>
      <c r="Z118" s="82">
        <f>IF(Z$5&lt;='Model Inputs'!$B$315,'Model Inputs'!$B$316*'Model Inputs'!$B$320*IF('Model Inputs'!$B$318=1,1.02^(Z$5-1),1)+IF(Z$5&gt;='Model Inputs'!$B$322,'Model Inputs'!$B$324,0),0)</f>
        <v>433.47089220052339</v>
      </c>
      <c r="AA118" s="82">
        <f>IF(AA$5&lt;='Model Inputs'!$B$315,'Model Inputs'!$B$316*'Model Inputs'!$B$320*IF('Model Inputs'!$B$318=1,1.02^(AA$5-1),1)+IF(AA$5&gt;='Model Inputs'!$B$322,'Model Inputs'!$B$324,0),0)</f>
        <v>438.51895328736475</v>
      </c>
      <c r="AB118" s="82">
        <f>IF(AB$5&lt;='Model Inputs'!$B$315,'Model Inputs'!$B$316*'Model Inputs'!$B$320*IF('Model Inputs'!$B$318=1,1.02^(AB$5-1),1)+IF(AB$5&gt;='Model Inputs'!$B$322,'Model Inputs'!$B$324,0),0)</f>
        <v>443.66797559594283</v>
      </c>
      <c r="AC118" s="82">
        <f>IF(AC$5&lt;='Model Inputs'!$B$315,'Model Inputs'!$B$316*'Model Inputs'!$B$320*IF('Model Inputs'!$B$318=1,1.02^(AC$5-1),1)+IF(AC$5&gt;='Model Inputs'!$B$322,'Model Inputs'!$B$324,0),0)</f>
        <v>448.91997835069253</v>
      </c>
      <c r="AD118" s="82">
        <f>IF(AD$5&lt;='Model Inputs'!$B$315,'Model Inputs'!$B$316*'Model Inputs'!$B$320*IF('Model Inputs'!$B$318=1,1.02^(AD$5-1),1)+IF(AD$5&gt;='Model Inputs'!$B$322,'Model Inputs'!$B$324,0),0)</f>
        <v>454.27702116053717</v>
      </c>
      <c r="AE118" s="82">
        <f>IF(AE$5&lt;='Model Inputs'!$B$315,'Model Inputs'!$B$316*'Model Inputs'!$B$320*IF('Model Inputs'!$B$318=1,1.02^(AE$5-1),1)+IF(AE$5&gt;='Model Inputs'!$B$322,'Model Inputs'!$B$324,0),0)</f>
        <v>0</v>
      </c>
      <c r="AF118" s="82">
        <f>IF(AF$5&lt;='Model Inputs'!$B$315,'Model Inputs'!$B$316*'Model Inputs'!$B$320*IF('Model Inputs'!$B$318=1,1.02^(AF$5-1),1)+IF(AF$5&gt;='Model Inputs'!$B$322,'Model Inputs'!$B$324,0),0)</f>
        <v>0</v>
      </c>
      <c r="AG118" s="82">
        <f>IF(AG$5&lt;='Model Inputs'!$B$315,'Model Inputs'!$B$316*'Model Inputs'!$B$320*IF('Model Inputs'!$B$318=1,1.02^(AG$5-1),1)+IF(AG$5&gt;='Model Inputs'!$B$322,'Model Inputs'!$B$324,0),0)</f>
        <v>0</v>
      </c>
      <c r="AH118" s="82">
        <f>IF(AH$5&lt;='Model Inputs'!$B$315,'Model Inputs'!$B$316*'Model Inputs'!$B$320*IF('Model Inputs'!$B$318=1,1.02^(AH$5-1),1)+IF(AH$5&gt;='Model Inputs'!$B$322,'Model Inputs'!$B$324,0),0)</f>
        <v>0</v>
      </c>
      <c r="AI118" s="82">
        <f>IF(AI$5&lt;='Model Inputs'!$B$315,'Model Inputs'!$B$316*'Model Inputs'!$B$320*IF('Model Inputs'!$B$318=1,1.02^(AI$5-1),1)+IF(AI$5&gt;='Model Inputs'!$B$322,'Model Inputs'!$B$324,0),0)</f>
        <v>0</v>
      </c>
      <c r="AJ118" s="82">
        <f>IF(AJ$5&lt;='Model Inputs'!$B$315,'Model Inputs'!$B$316*'Model Inputs'!$B$320*IF('Model Inputs'!$B$318=1,1.02^(AJ$5-1),1)+IF(AJ$5&gt;='Model Inputs'!$B$322,'Model Inputs'!$B$324,0),0)</f>
        <v>0</v>
      </c>
      <c r="AK118" s="82">
        <f>IF(AK$5&lt;='Model Inputs'!$B$315,'Model Inputs'!$B$316*'Model Inputs'!$B$320*IF('Model Inputs'!$B$318=1,1.02^(AK$5-1),1)+IF(AK$5&gt;='Model Inputs'!$B$322,'Model Inputs'!$B$324,0),0)</f>
        <v>0</v>
      </c>
      <c r="AL118" s="82">
        <f>IF(AL$5&lt;='Model Inputs'!$B$315,'Model Inputs'!$B$316*'Model Inputs'!$B$320*IF('Model Inputs'!$B$318=1,1.02^(AL$5-1),1)+IF(AL$5&gt;='Model Inputs'!$B$322,'Model Inputs'!$B$324,0),0)</f>
        <v>0</v>
      </c>
      <c r="AM118" s="82">
        <f>IF(AM$5&lt;='Model Inputs'!$B$315,'Model Inputs'!$B$316*'Model Inputs'!$B$320*IF('Model Inputs'!$B$318=1,1.02^(AM$5-1),1)+IF(AM$5&gt;='Model Inputs'!$B$322,'Model Inputs'!$B$324,0),0)</f>
        <v>0</v>
      </c>
      <c r="AN118" s="82">
        <f>IF(AN$5&lt;='Model Inputs'!$B$315,'Model Inputs'!$B$316*'Model Inputs'!$B$320*IF('Model Inputs'!$B$318=1,1.02^(AN$5-1),1)+IF(AN$5&gt;='Model Inputs'!$B$322,'Model Inputs'!$B$324,0),0)</f>
        <v>0</v>
      </c>
      <c r="AO118" s="82">
        <f>IF(AO$5&lt;='Model Inputs'!$B$315,'Model Inputs'!$B$316*'Model Inputs'!$B$320*IF('Model Inputs'!$B$318=1,1.02^(AO$5-1),1)+IF(AO$5&gt;='Model Inputs'!$B$322,'Model Inputs'!$B$324,0),0)</f>
        <v>0</v>
      </c>
      <c r="AP118" s="82">
        <f>IF(AP$5&lt;='Model Inputs'!$B$315,'Model Inputs'!$B$316*'Model Inputs'!$B$320*IF('Model Inputs'!$B$318=1,1.02^(AP$5-1),1)+IF(AP$5&gt;='Model Inputs'!$B$322,'Model Inputs'!$B$324,0),0)</f>
        <v>0</v>
      </c>
      <c r="AQ118" s="82">
        <f>IF(AQ$5&lt;='Model Inputs'!$B$315,'Model Inputs'!$B$316*'Model Inputs'!$B$320*IF('Model Inputs'!$B$318=1,1.02^(AQ$5-1),1)+IF(AQ$5&gt;='Model Inputs'!$B$322,'Model Inputs'!$B$324,0),0)</f>
        <v>0</v>
      </c>
      <c r="AR118" s="82">
        <f>IF(AR$5&lt;='Model Inputs'!$B$315,'Model Inputs'!$B$316*'Model Inputs'!$B$320*IF('Model Inputs'!$B$318=1,1.02^(AR$5-1),1)+IF(AR$5&gt;='Model Inputs'!$B$322,'Model Inputs'!$B$324,0),0)</f>
        <v>0</v>
      </c>
      <c r="AS118" s="82">
        <f>IF(AS$5&lt;='Model Inputs'!$B$315,'Model Inputs'!$B$316*'Model Inputs'!$B$320*IF('Model Inputs'!$B$318=1,1.02^(AS$5-1),1)+IF(AS$5&gt;='Model Inputs'!$B$322,'Model Inputs'!$B$324,0),0)</f>
        <v>0</v>
      </c>
      <c r="AT118" s="82">
        <f>IF(AT$5&lt;='Model Inputs'!$B$315,'Model Inputs'!$B$316*'Model Inputs'!$B$320*IF('Model Inputs'!$B$318=1,1.02^(AT$5-1),1)+IF(AT$5&gt;='Model Inputs'!$B$322,'Model Inputs'!$B$324,0),0)</f>
        <v>0</v>
      </c>
      <c r="AU118" s="82">
        <f>IF(AU$5&lt;='Model Inputs'!$B$315,'Model Inputs'!$B$316*'Model Inputs'!$B$320*IF('Model Inputs'!$B$318=1,1.02^(AU$5-1),1)+IF(AU$5&gt;='Model Inputs'!$B$322,'Model Inputs'!$B$324,0),0)</f>
        <v>0</v>
      </c>
      <c r="AV118" s="82">
        <f>IF(AV$5&lt;='Model Inputs'!$B$315,'Model Inputs'!$B$316*'Model Inputs'!$B$320*IF('Model Inputs'!$B$318=1,1.02^(AV$5-1),1)+IF(AV$5&gt;='Model Inputs'!$B$322,'Model Inputs'!$B$324,0),0)</f>
        <v>0</v>
      </c>
      <c r="AW118" s="82">
        <f>IF(AW$5&lt;='Model Inputs'!$B$315,'Model Inputs'!$B$316*'Model Inputs'!$B$320*IF('Model Inputs'!$B$318=1,1.02^(AW$5-1),1)+IF(AW$5&gt;='Model Inputs'!$B$322,'Model Inputs'!$B$324,0),0)</f>
        <v>0</v>
      </c>
      <c r="AX118" s="82">
        <f>IF(AX$5&lt;='Model Inputs'!$B$315,'Model Inputs'!$B$316*'Model Inputs'!$B$320*IF('Model Inputs'!$B$318=1,1.02^(AX$5-1),1)+IF(AX$5&gt;='Model Inputs'!$B$322,'Model Inputs'!$B$324,0),0)</f>
        <v>0</v>
      </c>
      <c r="AY118" s="82">
        <f>IF(AY$5&lt;='Model Inputs'!$B$315,'Model Inputs'!$B$316*'Model Inputs'!$B$320*IF('Model Inputs'!$B$318=1,1.02^(AY$5-1),1)+IF(AY$5&gt;='Model Inputs'!$B$322,'Model Inputs'!$B$324,0),0)</f>
        <v>0</v>
      </c>
      <c r="AZ118" s="82">
        <f>IF(AZ$5&lt;='Model Inputs'!$B$315,'Model Inputs'!$B$316*'Model Inputs'!$B$320*IF('Model Inputs'!$B$318=1,1.02^(AZ$5-1),1)+IF(AZ$5&gt;='Model Inputs'!$B$322,'Model Inputs'!$B$324,0),0)</f>
        <v>0</v>
      </c>
      <c r="BA118" s="82">
        <f>IF(BA$5&lt;='Model Inputs'!$B$315,'Model Inputs'!$B$316*'Model Inputs'!$B$320*IF('Model Inputs'!$B$318=1,1.02^(BA$5-1),1)+IF(BA$5&gt;='Model Inputs'!$B$322,'Model Inputs'!$B$324,0),0)</f>
        <v>0</v>
      </c>
      <c r="BB118" s="82">
        <f>IF(BB$5&lt;='Model Inputs'!$B$315,'Model Inputs'!$B$316*'Model Inputs'!$B$320*IF('Model Inputs'!$B$318=1,1.02^(BB$5-1),1)+IF(BB$5&gt;='Model Inputs'!$B$322,'Model Inputs'!$B$324,0),0)</f>
        <v>0</v>
      </c>
      <c r="BC118" s="82">
        <f>IF(BC$5&lt;='Model Inputs'!$B$315,'Model Inputs'!$B$316*'Model Inputs'!$B$320*IF('Model Inputs'!$B$318=1,1.02^(BC$5-1),1)+IF(BC$5&gt;='Model Inputs'!$B$322,'Model Inputs'!$B$324,0),0)</f>
        <v>0</v>
      </c>
      <c r="BD118" s="82">
        <f>IF(BD$5&lt;='Model Inputs'!$B$315,'Model Inputs'!$B$316*'Model Inputs'!$B$320*IF('Model Inputs'!$B$318=1,1.02^(BD$5-1),1)+IF(BD$5&gt;='Model Inputs'!$B$322,'Model Inputs'!$B$324,0),0)</f>
        <v>0</v>
      </c>
      <c r="BE118" s="82">
        <f>IF(BE$5&lt;='Model Inputs'!$B$315,'Model Inputs'!$B$316*'Model Inputs'!$B$320*IF('Model Inputs'!$B$318=1,1.02^(BE$5-1),1)+IF(BE$5&gt;='Model Inputs'!$B$322,'Model Inputs'!$B$324,0),0)</f>
        <v>0</v>
      </c>
      <c r="BF118" s="82">
        <f>IF(BF$5&lt;='Model Inputs'!$B$315,'Model Inputs'!$B$316*'Model Inputs'!$B$320*IF('Model Inputs'!$B$318=1,1.02^(BF$5-1),1)+IF(BF$5&gt;='Model Inputs'!$B$322,'Model Inputs'!$B$324,0),0)</f>
        <v>0</v>
      </c>
      <c r="BG118" s="82">
        <f>IF(BG$5&lt;='Model Inputs'!$B$315,'Model Inputs'!$B$316*'Model Inputs'!$B$320*IF('Model Inputs'!$B$318=1,1.02^(BG$5-1),1)+IF(BG$5&gt;='Model Inputs'!$B$322,'Model Inputs'!$B$324,0),0)</f>
        <v>0</v>
      </c>
      <c r="BH118" s="82">
        <f>IF(BH$5&lt;='Model Inputs'!$B$315,'Model Inputs'!$B$316*'Model Inputs'!$B$320*IF('Model Inputs'!$B$318=1,1.02^(BH$5-1),1)+IF(BH$5&gt;='Model Inputs'!$B$322,'Model Inputs'!$B$324,0),0)</f>
        <v>0</v>
      </c>
      <c r="BI118" s="82">
        <f>IF(BI$5&lt;='Model Inputs'!$B$315,'Model Inputs'!$B$316*'Model Inputs'!$B$320*IF('Model Inputs'!$B$318=1,1.02^(BI$5-1),1)+IF(BI$5&gt;='Model Inputs'!$B$322,'Model Inputs'!$B$324,0),0)</f>
        <v>0</v>
      </c>
      <c r="BJ118" s="82">
        <f>IF(BJ$5&lt;='Model Inputs'!$B$315,'Model Inputs'!$B$316*'Model Inputs'!$B$320*IF('Model Inputs'!$B$318=1,1.02^(BJ$5-1),1)+IF(BJ$5&gt;='Model Inputs'!$B$322,'Model Inputs'!$B$324,0),0)</f>
        <v>0</v>
      </c>
      <c r="BK118" s="82">
        <f>IF(BK$5&lt;='Model Inputs'!$B$315,'Model Inputs'!$B$316*'Model Inputs'!$B$320*IF('Model Inputs'!$B$318=1,1.02^(BK$5-1),1)+IF(BK$5&gt;='Model Inputs'!$B$322,'Model Inputs'!$B$324,0),0)</f>
        <v>0</v>
      </c>
      <c r="BL118" s="82">
        <f>IF(BL$5&lt;='Model Inputs'!$B$315,'Model Inputs'!$B$316*'Model Inputs'!$B$320*IF('Model Inputs'!$B$318=1,1.02^(BL$5-1),1)+IF(BL$5&gt;='Model Inputs'!$B$322,'Model Inputs'!$B$324,0),0)</f>
        <v>0</v>
      </c>
      <c r="BM118" s="82">
        <f>IF(BM$5&lt;='Model Inputs'!$B$315,'Model Inputs'!$B$316*'Model Inputs'!$B$320*IF('Model Inputs'!$B$318=1,1.02^(BM$5-1),1)+IF(BM$5&gt;='Model Inputs'!$B$322,'Model Inputs'!$B$324,0),0)</f>
        <v>0</v>
      </c>
      <c r="BN118" s="82">
        <f>IF(BN$5&lt;='Model Inputs'!$B$315,'Model Inputs'!$B$316*'Model Inputs'!$B$320*IF('Model Inputs'!$B$318=1,1.02^(BN$5-1),1)+IF(BN$5&gt;='Model Inputs'!$B$322,'Model Inputs'!$B$324,0),0)</f>
        <v>0</v>
      </c>
      <c r="BO118" s="82">
        <f>IF(BO$5&lt;='Model Inputs'!$B$315,'Model Inputs'!$B$316*'Model Inputs'!$B$320*IF('Model Inputs'!$B$318=1,1.02^(BO$5-1),1)+IF(BO$5&gt;='Model Inputs'!$B$322,'Model Inputs'!$B$324,0),0)</f>
        <v>0</v>
      </c>
    </row>
    <row r="119" spans="1:67" ht="15.75" customHeight="1" x14ac:dyDescent="0.2">
      <c r="A119" s="12" t="s">
        <v>267</v>
      </c>
      <c r="B119" s="81">
        <f>SUM(C119:BO119)</f>
        <v>6265.2656182229994</v>
      </c>
      <c r="C119" s="82">
        <f>IF(C$5&lt;='Model Inputs'!$C$315,'Model Inputs'!$C$316*'Model Inputs'!$C$320*IF('Model Inputs'!$C$318=1,1.02^(C$5-1),1)+IF(C$5&gt;='Model Inputs'!$C$322,'Model Inputs'!$C$324,0),0)</f>
        <v>118.46195241843505</v>
      </c>
      <c r="D119" s="82">
        <f>IF(D$5&lt;='Model Inputs'!$C$315,'Model Inputs'!$C$316*'Model Inputs'!$C$320*IF('Model Inputs'!$C$318=1,1.02^(D$5-1),1)+IF(D$5&gt;='Model Inputs'!$C$322,'Model Inputs'!$C$324,0),0)</f>
        <v>118.46195241843505</v>
      </c>
      <c r="E119" s="82">
        <f>IF(E$5&lt;='Model Inputs'!$C$315,'Model Inputs'!$C$316*'Model Inputs'!$C$320*IF('Model Inputs'!$C$318=1,1.02^(E$5-1),1)+IF(E$5&gt;='Model Inputs'!$C$322,'Model Inputs'!$C$324,0),0)</f>
        <v>118.46195241843505</v>
      </c>
      <c r="F119" s="82">
        <f>IF(F$5&lt;='Model Inputs'!$C$315,'Model Inputs'!$C$316*'Model Inputs'!$C$320*IF('Model Inputs'!$C$318=1,1.02^(F$5-1),1)+IF(F$5&gt;='Model Inputs'!$C$322,'Model Inputs'!$C$324,0),0)</f>
        <v>118.46195241843505</v>
      </c>
      <c r="G119" s="82">
        <f>IF(G$5&lt;='Model Inputs'!$C$315,'Model Inputs'!$C$316*'Model Inputs'!$C$320*IF('Model Inputs'!$C$318=1,1.02^(G$5-1),1)+IF(G$5&gt;='Model Inputs'!$C$322,'Model Inputs'!$C$324,0),0)</f>
        <v>118.46195241843505</v>
      </c>
      <c r="H119" s="82">
        <f>IF(H$5&lt;='Model Inputs'!$C$315,'Model Inputs'!$C$316*'Model Inputs'!$C$320*IF('Model Inputs'!$C$318=1,1.02^(H$5-1),1)+IF(H$5&gt;='Model Inputs'!$C$322,'Model Inputs'!$C$324,0),0)</f>
        <v>118.46195241843505</v>
      </c>
      <c r="I119" s="82">
        <f>IF(I$5&lt;='Model Inputs'!$C$315,'Model Inputs'!$C$316*'Model Inputs'!$C$320*IF('Model Inputs'!$C$318=1,1.02^(I$5-1),1)+IF(I$5&gt;='Model Inputs'!$C$322,'Model Inputs'!$C$324,0),0)</f>
        <v>118.46195241843505</v>
      </c>
      <c r="J119" s="82">
        <f>IF(J$5&lt;='Model Inputs'!$C$315,'Model Inputs'!$C$316*'Model Inputs'!$C$320*IF('Model Inputs'!$C$318=1,1.02^(J$5-1),1)+IF(J$5&gt;='Model Inputs'!$C$322,'Model Inputs'!$C$324,0),0)</f>
        <v>118.46195241843505</v>
      </c>
      <c r="K119" s="82">
        <f>IF(K$5&lt;='Model Inputs'!$C$315,'Model Inputs'!$C$316*'Model Inputs'!$C$320*IF('Model Inputs'!$C$318=1,1.02^(K$5-1),1)+IF(K$5&gt;='Model Inputs'!$C$322,'Model Inputs'!$C$324,0),0)</f>
        <v>118.46195241843505</v>
      </c>
      <c r="L119" s="82">
        <f>IF(L$5&lt;='Model Inputs'!$C$315,'Model Inputs'!$C$316*'Model Inputs'!$C$320*IF('Model Inputs'!$C$318=1,1.02^(L$5-1),1)+IF(L$5&gt;='Model Inputs'!$C$322,'Model Inputs'!$C$324,0),0)</f>
        <v>118.46195241843505</v>
      </c>
      <c r="M119" s="82">
        <f>IF(M$5&lt;='Model Inputs'!$C$315,'Model Inputs'!$C$316*'Model Inputs'!$C$320*IF('Model Inputs'!$C$318=1,1.02^(M$5-1),1)+IF(M$5&gt;='Model Inputs'!$C$322,'Model Inputs'!$C$324,0),0)</f>
        <v>118.46195241843505</v>
      </c>
      <c r="N119" s="82">
        <f>IF(N$5&lt;='Model Inputs'!$C$315,'Model Inputs'!$C$316*'Model Inputs'!$C$320*IF('Model Inputs'!$C$318=1,1.02^(N$5-1),1)+IF(N$5&gt;='Model Inputs'!$C$322,'Model Inputs'!$C$324,0),0)</f>
        <v>118.46195241843505</v>
      </c>
      <c r="O119" s="82">
        <f>IF(O$5&lt;='Model Inputs'!$C$315,'Model Inputs'!$C$316*'Model Inputs'!$C$320*IF('Model Inputs'!$C$318=1,1.02^(O$5-1),1)+IF(O$5&gt;='Model Inputs'!$C$322,'Model Inputs'!$C$324,0),0)</f>
        <v>118.46195241843505</v>
      </c>
      <c r="P119" s="82">
        <f>IF(P$5&lt;='Model Inputs'!$C$315,'Model Inputs'!$C$316*'Model Inputs'!$C$320*IF('Model Inputs'!$C$318=1,1.02^(P$5-1),1)+IF(P$5&gt;='Model Inputs'!$C$322,'Model Inputs'!$C$324,0),0)</f>
        <v>118.46195241843505</v>
      </c>
      <c r="Q119" s="82">
        <f>IF(Q$5&lt;='Model Inputs'!$C$315,'Model Inputs'!$C$316*'Model Inputs'!$C$320*IF('Model Inputs'!$C$318=1,1.02^(Q$5-1),1)+IF(Q$5&gt;='Model Inputs'!$C$322,'Model Inputs'!$C$324,0),0)</f>
        <v>118.46195241843505</v>
      </c>
      <c r="R119" s="82">
        <f>IF(R$5&lt;='Model Inputs'!$C$315,'Model Inputs'!$C$316*'Model Inputs'!$C$320*IF('Model Inputs'!$C$318=1,1.02^(R$5-1),1)+IF(R$5&gt;='Model Inputs'!$C$322,'Model Inputs'!$C$324,0),0)</f>
        <v>118.46195241843505</v>
      </c>
      <c r="S119" s="82">
        <f>IF(S$5&lt;='Model Inputs'!$C$315,'Model Inputs'!$C$316*'Model Inputs'!$C$320*IF('Model Inputs'!$C$318=1,1.02^(S$5-1),1)+IF(S$5&gt;='Model Inputs'!$C$322,'Model Inputs'!$C$324,0),0)</f>
        <v>118.46195241843505</v>
      </c>
      <c r="T119" s="82">
        <f>IF(T$5&lt;='Model Inputs'!$C$315,'Model Inputs'!$C$316*'Model Inputs'!$C$320*IF('Model Inputs'!$C$318=1,1.02^(T$5-1),1)+IF(T$5&gt;='Model Inputs'!$C$322,'Model Inputs'!$C$324,0),0)</f>
        <v>118.46195241843505</v>
      </c>
      <c r="U119" s="82">
        <f>IF(U$5&lt;='Model Inputs'!$C$315,'Model Inputs'!$C$316*'Model Inputs'!$C$320*IF('Model Inputs'!$C$318=1,1.02^(U$5-1),1)+IF(U$5&gt;='Model Inputs'!$C$322,'Model Inputs'!$C$324,0),0)</f>
        <v>118.46195241843505</v>
      </c>
      <c r="V119" s="82">
        <f>IF(V$5&lt;='Model Inputs'!$C$315,'Model Inputs'!$C$316*'Model Inputs'!$C$320*IF('Model Inputs'!$C$318=1,1.02^(V$5-1),1)+IF(V$5&gt;='Model Inputs'!$C$322,'Model Inputs'!$C$324,0),0)</f>
        <v>118.46195241843505</v>
      </c>
      <c r="W119" s="82">
        <f>IF(W$5&lt;='Model Inputs'!$C$315,'Model Inputs'!$C$316*'Model Inputs'!$C$320*IF('Model Inputs'!$C$318=1,1.02^(W$5-1),1)+IF(W$5&gt;='Model Inputs'!$C$322,'Model Inputs'!$C$324,0),0)</f>
        <v>118.46195241843505</v>
      </c>
      <c r="X119" s="82">
        <f>IF(X$5&lt;='Model Inputs'!$C$315,'Model Inputs'!$C$316*'Model Inputs'!$C$320*IF('Model Inputs'!$C$318=1,1.02^(X$5-1),1)+IF(X$5&gt;='Model Inputs'!$C$322,'Model Inputs'!$C$324,0),0)</f>
        <v>118.46195241843505</v>
      </c>
      <c r="Y119" s="82">
        <f>IF(Y$5&lt;='Model Inputs'!$C$315,'Model Inputs'!$C$316*'Model Inputs'!$C$320*IF('Model Inputs'!$C$318=1,1.02^(Y$5-1),1)+IF(Y$5&gt;='Model Inputs'!$C$322,'Model Inputs'!$C$324,0),0)</f>
        <v>118.46195241843505</v>
      </c>
      <c r="Z119" s="82">
        <f>IF(Z$5&lt;='Model Inputs'!$C$315,'Model Inputs'!$C$316*'Model Inputs'!$C$320*IF('Model Inputs'!$C$318=1,1.02^(Z$5-1),1)+IF(Z$5&gt;='Model Inputs'!$C$322,'Model Inputs'!$C$324,0),0)</f>
        <v>118.46195241843505</v>
      </c>
      <c r="AA119" s="82">
        <f>IF(AA$5&lt;='Model Inputs'!$C$315,'Model Inputs'!$C$316*'Model Inputs'!$C$320*IF('Model Inputs'!$C$318=1,1.02^(AA$5-1),1)+IF(AA$5&gt;='Model Inputs'!$C$322,'Model Inputs'!$C$324,0),0)</f>
        <v>118.46195241843505</v>
      </c>
      <c r="AB119" s="82">
        <f>IF(AB$5&lt;='Model Inputs'!$C$315,'Model Inputs'!$C$316*'Model Inputs'!$C$320*IF('Model Inputs'!$C$318=1,1.02^(AB$5-1),1)+IF(AB$5&gt;='Model Inputs'!$C$322,'Model Inputs'!$C$324,0),0)</f>
        <v>137.65486699008852</v>
      </c>
      <c r="AC119" s="82">
        <f>IF(AC$5&lt;='Model Inputs'!$C$315,'Model Inputs'!$C$316*'Model Inputs'!$C$320*IF('Model Inputs'!$C$318=1,1.02^(AC$5-1),1)+IF(AC$5&gt;='Model Inputs'!$C$322,'Model Inputs'!$C$324,0),0)</f>
        <v>137.65486699008852</v>
      </c>
      <c r="AD119" s="82">
        <f>IF(AD$5&lt;='Model Inputs'!$C$315,'Model Inputs'!$C$316*'Model Inputs'!$C$320*IF('Model Inputs'!$C$318=1,1.02^(AD$5-1),1)+IF(AD$5&gt;='Model Inputs'!$C$322,'Model Inputs'!$C$324,0),0)</f>
        <v>137.65486699008852</v>
      </c>
      <c r="AE119" s="82">
        <f>IF(AE$5&lt;='Model Inputs'!$C$315,'Model Inputs'!$C$316*'Model Inputs'!$C$320*IF('Model Inputs'!$C$318=1,1.02^(AE$5-1),1)+IF(AE$5&gt;='Model Inputs'!$C$322,'Model Inputs'!$C$324,0),0)</f>
        <v>137.65486699008852</v>
      </c>
      <c r="AF119" s="82">
        <f>IF(AF$5&lt;='Model Inputs'!$C$315,'Model Inputs'!$C$316*'Model Inputs'!$C$320*IF('Model Inputs'!$C$318=1,1.02^(AF$5-1),1)+IF(AF$5&gt;='Model Inputs'!$C$322,'Model Inputs'!$C$324,0),0)</f>
        <v>137.65486699008852</v>
      </c>
      <c r="AG119" s="82">
        <f>IF(AG$5&lt;='Model Inputs'!$C$315,'Model Inputs'!$C$316*'Model Inputs'!$C$320*IF('Model Inputs'!$C$318=1,1.02^(AG$5-1),1)+IF(AG$5&gt;='Model Inputs'!$C$322,'Model Inputs'!$C$324,0),0)</f>
        <v>137.65486699008852</v>
      </c>
      <c r="AH119" s="82">
        <f>IF(AH$5&lt;='Model Inputs'!$C$315,'Model Inputs'!$C$316*'Model Inputs'!$C$320*IF('Model Inputs'!$C$318=1,1.02^(AH$5-1),1)+IF(AH$5&gt;='Model Inputs'!$C$322,'Model Inputs'!$C$324,0),0)</f>
        <v>137.65486699008852</v>
      </c>
      <c r="AI119" s="82">
        <f>IF(AI$5&lt;='Model Inputs'!$C$315,'Model Inputs'!$C$316*'Model Inputs'!$C$320*IF('Model Inputs'!$C$318=1,1.02^(AI$5-1),1)+IF(AI$5&gt;='Model Inputs'!$C$322,'Model Inputs'!$C$324,0),0)</f>
        <v>137.65486699008852</v>
      </c>
      <c r="AJ119" s="82">
        <f>IF(AJ$5&lt;='Model Inputs'!$C$315,'Model Inputs'!$C$316*'Model Inputs'!$C$320*IF('Model Inputs'!$C$318=1,1.02^(AJ$5-1),1)+IF(AJ$5&gt;='Model Inputs'!$C$322,'Model Inputs'!$C$324,0),0)</f>
        <v>137.65486699008852</v>
      </c>
      <c r="AK119" s="82">
        <f>IF(AK$5&lt;='Model Inputs'!$C$315,'Model Inputs'!$C$316*'Model Inputs'!$C$320*IF('Model Inputs'!$C$318=1,1.02^(AK$5-1),1)+IF(AK$5&gt;='Model Inputs'!$C$322,'Model Inputs'!$C$324,0),0)</f>
        <v>137.65486699008852</v>
      </c>
      <c r="AL119" s="82">
        <f>IF(AL$5&lt;='Model Inputs'!$C$315,'Model Inputs'!$C$316*'Model Inputs'!$C$320*IF('Model Inputs'!$C$318=1,1.02^(AL$5-1),1)+IF(AL$5&gt;='Model Inputs'!$C$322,'Model Inputs'!$C$324,0),0)</f>
        <v>137.65486699008852</v>
      </c>
      <c r="AM119" s="82">
        <f>IF(AM$5&lt;='Model Inputs'!$C$315,'Model Inputs'!$C$316*'Model Inputs'!$C$320*IF('Model Inputs'!$C$318=1,1.02^(AM$5-1),1)+IF(AM$5&gt;='Model Inputs'!$C$322,'Model Inputs'!$C$324,0),0)</f>
        <v>137.65486699008852</v>
      </c>
      <c r="AN119" s="82">
        <f>IF(AN$5&lt;='Model Inputs'!$C$315,'Model Inputs'!$C$316*'Model Inputs'!$C$320*IF('Model Inputs'!$C$318=1,1.02^(AN$5-1),1)+IF(AN$5&gt;='Model Inputs'!$C$322,'Model Inputs'!$C$324,0),0)</f>
        <v>137.65486699008852</v>
      </c>
      <c r="AO119" s="82">
        <f>IF(AO$5&lt;='Model Inputs'!$C$315,'Model Inputs'!$C$316*'Model Inputs'!$C$320*IF('Model Inputs'!$C$318=1,1.02^(AO$5-1),1)+IF(AO$5&gt;='Model Inputs'!$C$322,'Model Inputs'!$C$324,0),0)</f>
        <v>137.65486699008852</v>
      </c>
      <c r="AP119" s="82">
        <f>IF(AP$5&lt;='Model Inputs'!$C$315,'Model Inputs'!$C$316*'Model Inputs'!$C$320*IF('Model Inputs'!$C$318=1,1.02^(AP$5-1),1)+IF(AP$5&gt;='Model Inputs'!$C$322,'Model Inputs'!$C$324,0),0)</f>
        <v>137.65486699008852</v>
      </c>
      <c r="AQ119" s="82">
        <f>IF(AQ$5&lt;='Model Inputs'!$C$315,'Model Inputs'!$C$316*'Model Inputs'!$C$320*IF('Model Inputs'!$C$318=1,1.02^(AQ$5-1),1)+IF(AQ$5&gt;='Model Inputs'!$C$322,'Model Inputs'!$C$324,0),0)</f>
        <v>137.65486699008852</v>
      </c>
      <c r="AR119" s="82">
        <f>IF(AR$5&lt;='Model Inputs'!$C$315,'Model Inputs'!$C$316*'Model Inputs'!$C$320*IF('Model Inputs'!$C$318=1,1.02^(AR$5-1),1)+IF(AR$5&gt;='Model Inputs'!$C$322,'Model Inputs'!$C$324,0),0)</f>
        <v>137.65486699008852</v>
      </c>
      <c r="AS119" s="82">
        <f>IF(AS$5&lt;='Model Inputs'!$C$315,'Model Inputs'!$C$316*'Model Inputs'!$C$320*IF('Model Inputs'!$C$318=1,1.02^(AS$5-1),1)+IF(AS$5&gt;='Model Inputs'!$C$322,'Model Inputs'!$C$324,0),0)</f>
        <v>137.65486699008852</v>
      </c>
      <c r="AT119" s="82">
        <f>IF(AT$5&lt;='Model Inputs'!$C$315,'Model Inputs'!$C$316*'Model Inputs'!$C$320*IF('Model Inputs'!$C$318=1,1.02^(AT$5-1),1)+IF(AT$5&gt;='Model Inputs'!$C$322,'Model Inputs'!$C$324,0),0)</f>
        <v>137.65486699008852</v>
      </c>
      <c r="AU119" s="82">
        <f>IF(AU$5&lt;='Model Inputs'!$C$315,'Model Inputs'!$C$316*'Model Inputs'!$C$320*IF('Model Inputs'!$C$318=1,1.02^(AU$5-1),1)+IF(AU$5&gt;='Model Inputs'!$C$322,'Model Inputs'!$C$324,0),0)</f>
        <v>137.65486699008852</v>
      </c>
      <c r="AV119" s="82">
        <f>IF(AV$5&lt;='Model Inputs'!$C$315,'Model Inputs'!$C$316*'Model Inputs'!$C$320*IF('Model Inputs'!$C$318=1,1.02^(AV$5-1),1)+IF(AV$5&gt;='Model Inputs'!$C$322,'Model Inputs'!$C$324,0),0)</f>
        <v>137.65486699008852</v>
      </c>
      <c r="AW119" s="82">
        <f>IF(AW$5&lt;='Model Inputs'!$C$315,'Model Inputs'!$C$316*'Model Inputs'!$C$320*IF('Model Inputs'!$C$318=1,1.02^(AW$5-1),1)+IF(AW$5&gt;='Model Inputs'!$C$322,'Model Inputs'!$C$324,0),0)</f>
        <v>137.65486699008852</v>
      </c>
      <c r="AX119" s="82">
        <f>IF(AX$5&lt;='Model Inputs'!$C$315,'Model Inputs'!$C$316*'Model Inputs'!$C$320*IF('Model Inputs'!$C$318=1,1.02^(AX$5-1),1)+IF(AX$5&gt;='Model Inputs'!$C$322,'Model Inputs'!$C$324,0),0)</f>
        <v>137.65486699008852</v>
      </c>
      <c r="AY119" s="82">
        <f>IF(AY$5&lt;='Model Inputs'!$C$315,'Model Inputs'!$C$316*'Model Inputs'!$C$320*IF('Model Inputs'!$C$318=1,1.02^(AY$5-1),1)+IF(AY$5&gt;='Model Inputs'!$C$322,'Model Inputs'!$C$324,0),0)</f>
        <v>137.65486699008852</v>
      </c>
      <c r="AZ119" s="82">
        <f>IF(AZ$5&lt;='Model Inputs'!$C$315,'Model Inputs'!$C$316*'Model Inputs'!$C$320*IF('Model Inputs'!$C$318=1,1.02^(AZ$5-1),1)+IF(AZ$5&gt;='Model Inputs'!$C$322,'Model Inputs'!$C$324,0),0)</f>
        <v>0</v>
      </c>
      <c r="BA119" s="82">
        <f>IF(BA$5&lt;='Model Inputs'!$C$315,'Model Inputs'!$C$316*'Model Inputs'!$C$320*IF('Model Inputs'!$C$318=1,1.02^(BA$5-1),1)+IF(BA$5&gt;='Model Inputs'!$C$322,'Model Inputs'!$C$324,0),0)</f>
        <v>0</v>
      </c>
      <c r="BB119" s="82">
        <f>IF(BB$5&lt;='Model Inputs'!$C$315,'Model Inputs'!$C$316*'Model Inputs'!$C$320*IF('Model Inputs'!$C$318=1,1.02^(BB$5-1),1)+IF(BB$5&gt;='Model Inputs'!$C$322,'Model Inputs'!$C$324,0),0)</f>
        <v>0</v>
      </c>
      <c r="BC119" s="82">
        <f>IF(BC$5&lt;='Model Inputs'!$C$315,'Model Inputs'!$C$316*'Model Inputs'!$C$320*IF('Model Inputs'!$C$318=1,1.02^(BC$5-1),1)+IF(BC$5&gt;='Model Inputs'!$C$322,'Model Inputs'!$C$324,0),0)</f>
        <v>0</v>
      </c>
      <c r="BD119" s="82">
        <f>IF(BD$5&lt;='Model Inputs'!$C$315,'Model Inputs'!$C$316*'Model Inputs'!$C$320*IF('Model Inputs'!$C$318=1,1.02^(BD$5-1),1)+IF(BD$5&gt;='Model Inputs'!$C$322,'Model Inputs'!$C$324,0),0)</f>
        <v>0</v>
      </c>
      <c r="BE119" s="82">
        <f>IF(BE$5&lt;='Model Inputs'!$C$315,'Model Inputs'!$C$316*'Model Inputs'!$C$320*IF('Model Inputs'!$C$318=1,1.02^(BE$5-1),1)+IF(BE$5&gt;='Model Inputs'!$C$322,'Model Inputs'!$C$324,0),0)</f>
        <v>0</v>
      </c>
      <c r="BF119" s="82">
        <f>IF(BF$5&lt;='Model Inputs'!$C$315,'Model Inputs'!$C$316*'Model Inputs'!$C$320*IF('Model Inputs'!$C$318=1,1.02^(BF$5-1),1)+IF(BF$5&gt;='Model Inputs'!$C$322,'Model Inputs'!$C$324,0),0)</f>
        <v>0</v>
      </c>
      <c r="BG119" s="82">
        <f>IF(BG$5&lt;='Model Inputs'!$C$315,'Model Inputs'!$C$316*'Model Inputs'!$C$320*IF('Model Inputs'!$C$318=1,1.02^(BG$5-1),1)+IF(BG$5&gt;='Model Inputs'!$C$322,'Model Inputs'!$C$324,0),0)</f>
        <v>0</v>
      </c>
      <c r="BH119" s="82">
        <f>IF(BH$5&lt;='Model Inputs'!$C$315,'Model Inputs'!$C$316*'Model Inputs'!$C$320*IF('Model Inputs'!$C$318=1,1.02^(BH$5-1),1)+IF(BH$5&gt;='Model Inputs'!$C$322,'Model Inputs'!$C$324,0),0)</f>
        <v>0</v>
      </c>
      <c r="BI119" s="82">
        <f>IF(BI$5&lt;='Model Inputs'!$C$315,'Model Inputs'!$C$316*'Model Inputs'!$C$320*IF('Model Inputs'!$C$318=1,1.02^(BI$5-1),1)+IF(BI$5&gt;='Model Inputs'!$C$322,'Model Inputs'!$C$324,0),0)</f>
        <v>0</v>
      </c>
      <c r="BJ119" s="82">
        <f>IF(BJ$5&lt;='Model Inputs'!$C$315,'Model Inputs'!$C$316*'Model Inputs'!$C$320*IF('Model Inputs'!$C$318=1,1.02^(BJ$5-1),1)+IF(BJ$5&gt;='Model Inputs'!$C$322,'Model Inputs'!$C$324,0),0)</f>
        <v>0</v>
      </c>
      <c r="BK119" s="82">
        <f>IF(BK$5&lt;='Model Inputs'!$C$315,'Model Inputs'!$C$316*'Model Inputs'!$C$320*IF('Model Inputs'!$C$318=1,1.02^(BK$5-1),1)+IF(BK$5&gt;='Model Inputs'!$C$322,'Model Inputs'!$C$324,0),0)</f>
        <v>0</v>
      </c>
      <c r="BL119" s="82">
        <f>IF(BL$5&lt;='Model Inputs'!$C$315,'Model Inputs'!$C$316*'Model Inputs'!$C$320*IF('Model Inputs'!$C$318=1,1.02^(BL$5-1),1)+IF(BL$5&gt;='Model Inputs'!$C$322,'Model Inputs'!$C$324,0),0)</f>
        <v>0</v>
      </c>
      <c r="BM119" s="82">
        <f>IF(BM$5&lt;='Model Inputs'!$C$315,'Model Inputs'!$C$316*'Model Inputs'!$C$320*IF('Model Inputs'!$C$318=1,1.02^(BM$5-1),1)+IF(BM$5&gt;='Model Inputs'!$C$322,'Model Inputs'!$C$324,0),0)</f>
        <v>0</v>
      </c>
      <c r="BN119" s="82">
        <f>IF(BN$5&lt;='Model Inputs'!$C$315,'Model Inputs'!$C$316*'Model Inputs'!$C$320*IF('Model Inputs'!$C$318=1,1.02^(BN$5-1),1)+IF(BN$5&gt;='Model Inputs'!$C$322,'Model Inputs'!$C$324,0),0)</f>
        <v>0</v>
      </c>
      <c r="BO119" s="82">
        <f>IF(BO$5&lt;='Model Inputs'!$C$315,'Model Inputs'!$C$316*'Model Inputs'!$C$320*IF('Model Inputs'!$C$318=1,1.02^(BO$5-1),1)+IF(BO$5&gt;='Model Inputs'!$C$322,'Model Inputs'!$C$324,0),0)</f>
        <v>0</v>
      </c>
    </row>
    <row r="120" spans="1:67" ht="15.75" customHeight="1" x14ac:dyDescent="0.2">
      <c r="A120" s="12" t="s">
        <v>268</v>
      </c>
      <c r="B120" s="81">
        <f>SUM(C120:BO120)</f>
        <v>10391.260831151307</v>
      </c>
      <c r="C120" s="82">
        <f>IF(C$5&lt;='Model Inputs'!$D$315,'Model Inputs'!$D$316*'Model Inputs'!$D$320*IF('Model Inputs'!$D$318=1,1.02^(C$5-1),1)+IF(C$5&gt;='Model Inputs'!$D$322,'Model Inputs'!$D$324,0),0)</f>
        <v>196.47515702558997</v>
      </c>
      <c r="D120" s="82">
        <f>IF(D$5&lt;='Model Inputs'!$D$315,'Model Inputs'!$D$316*'Model Inputs'!$D$320*IF('Model Inputs'!$D$318=1,1.02^(D$5-1),1)+IF(D$5&gt;='Model Inputs'!$D$322,'Model Inputs'!$D$324,0),0)</f>
        <v>196.47515702558997</v>
      </c>
      <c r="E120" s="82">
        <f>IF(E$5&lt;='Model Inputs'!$D$315,'Model Inputs'!$D$316*'Model Inputs'!$D$320*IF('Model Inputs'!$D$318=1,1.02^(E$5-1),1)+IF(E$5&gt;='Model Inputs'!$D$322,'Model Inputs'!$D$324,0),0)</f>
        <v>196.47515702558997</v>
      </c>
      <c r="F120" s="82">
        <f>IF(F$5&lt;='Model Inputs'!$D$315,'Model Inputs'!$D$316*'Model Inputs'!$D$320*IF('Model Inputs'!$D$318=1,1.02^(F$5-1),1)+IF(F$5&gt;='Model Inputs'!$D$322,'Model Inputs'!$D$324,0),0)</f>
        <v>196.47515702558997</v>
      </c>
      <c r="G120" s="82">
        <f>IF(G$5&lt;='Model Inputs'!$D$315,'Model Inputs'!$D$316*'Model Inputs'!$D$320*IF('Model Inputs'!$D$318=1,1.02^(G$5-1),1)+IF(G$5&gt;='Model Inputs'!$D$322,'Model Inputs'!$D$324,0),0)</f>
        <v>196.47515702558997</v>
      </c>
      <c r="H120" s="82">
        <f>IF(H$5&lt;='Model Inputs'!$D$315,'Model Inputs'!$D$316*'Model Inputs'!$D$320*IF('Model Inputs'!$D$318=1,1.02^(H$5-1),1)+IF(H$5&gt;='Model Inputs'!$D$322,'Model Inputs'!$D$324,0),0)</f>
        <v>196.47515702558997</v>
      </c>
      <c r="I120" s="82">
        <f>IF(I$5&lt;='Model Inputs'!$D$315,'Model Inputs'!$D$316*'Model Inputs'!$D$320*IF('Model Inputs'!$D$318=1,1.02^(I$5-1),1)+IF(I$5&gt;='Model Inputs'!$D$322,'Model Inputs'!$D$324,0),0)</f>
        <v>196.47515702558997</v>
      </c>
      <c r="J120" s="82">
        <f>IF(J$5&lt;='Model Inputs'!$D$315,'Model Inputs'!$D$316*'Model Inputs'!$D$320*IF('Model Inputs'!$D$318=1,1.02^(J$5-1),1)+IF(J$5&gt;='Model Inputs'!$D$322,'Model Inputs'!$D$324,0),0)</f>
        <v>196.47515702558997</v>
      </c>
      <c r="K120" s="82">
        <f>IF(K$5&lt;='Model Inputs'!$D$315,'Model Inputs'!$D$316*'Model Inputs'!$D$320*IF('Model Inputs'!$D$318=1,1.02^(K$5-1),1)+IF(K$5&gt;='Model Inputs'!$D$322,'Model Inputs'!$D$324,0),0)</f>
        <v>196.47515702558997</v>
      </c>
      <c r="L120" s="82">
        <f>IF(L$5&lt;='Model Inputs'!$D$315,'Model Inputs'!$D$316*'Model Inputs'!$D$320*IF('Model Inputs'!$D$318=1,1.02^(L$5-1),1)+IF(L$5&gt;='Model Inputs'!$D$322,'Model Inputs'!$D$324,0),0)</f>
        <v>196.47515702558997</v>
      </c>
      <c r="M120" s="82">
        <f>IF(M$5&lt;='Model Inputs'!$D$315,'Model Inputs'!$D$316*'Model Inputs'!$D$320*IF('Model Inputs'!$D$318=1,1.02^(M$5-1),1)+IF(M$5&gt;='Model Inputs'!$D$322,'Model Inputs'!$D$324,0),0)</f>
        <v>196.47515702558997</v>
      </c>
      <c r="N120" s="82">
        <f>IF(N$5&lt;='Model Inputs'!$D$315,'Model Inputs'!$D$316*'Model Inputs'!$D$320*IF('Model Inputs'!$D$318=1,1.02^(N$5-1),1)+IF(N$5&gt;='Model Inputs'!$D$322,'Model Inputs'!$D$324,0),0)</f>
        <v>196.47515702558997</v>
      </c>
      <c r="O120" s="82">
        <f>IF(O$5&lt;='Model Inputs'!$D$315,'Model Inputs'!$D$316*'Model Inputs'!$D$320*IF('Model Inputs'!$D$318=1,1.02^(O$5-1),1)+IF(O$5&gt;='Model Inputs'!$D$322,'Model Inputs'!$D$324,0),0)</f>
        <v>196.47515702558997</v>
      </c>
      <c r="P120" s="82">
        <f>IF(P$5&lt;='Model Inputs'!$D$315,'Model Inputs'!$D$316*'Model Inputs'!$D$320*IF('Model Inputs'!$D$318=1,1.02^(P$5-1),1)+IF(P$5&gt;='Model Inputs'!$D$322,'Model Inputs'!$D$324,0),0)</f>
        <v>196.47515702558997</v>
      </c>
      <c r="Q120" s="82">
        <f>IF(Q$5&lt;='Model Inputs'!$D$315,'Model Inputs'!$D$316*'Model Inputs'!$D$320*IF('Model Inputs'!$D$318=1,1.02^(Q$5-1),1)+IF(Q$5&gt;='Model Inputs'!$D$322,'Model Inputs'!$D$324,0),0)</f>
        <v>196.47515702558997</v>
      </c>
      <c r="R120" s="82">
        <f>IF(R$5&lt;='Model Inputs'!$D$315,'Model Inputs'!$D$316*'Model Inputs'!$D$320*IF('Model Inputs'!$D$318=1,1.02^(R$5-1),1)+IF(R$5&gt;='Model Inputs'!$D$322,'Model Inputs'!$D$324,0),0)</f>
        <v>196.47515702558997</v>
      </c>
      <c r="S120" s="82">
        <f>IF(S$5&lt;='Model Inputs'!$D$315,'Model Inputs'!$D$316*'Model Inputs'!$D$320*IF('Model Inputs'!$D$318=1,1.02^(S$5-1),1)+IF(S$5&gt;='Model Inputs'!$D$322,'Model Inputs'!$D$324,0),0)</f>
        <v>196.47515702558997</v>
      </c>
      <c r="T120" s="82">
        <f>IF(T$5&lt;='Model Inputs'!$D$315,'Model Inputs'!$D$316*'Model Inputs'!$D$320*IF('Model Inputs'!$D$318=1,1.02^(T$5-1),1)+IF(T$5&gt;='Model Inputs'!$D$322,'Model Inputs'!$D$324,0),0)</f>
        <v>196.47515702558997</v>
      </c>
      <c r="U120" s="82">
        <f>IF(U$5&lt;='Model Inputs'!$D$315,'Model Inputs'!$D$316*'Model Inputs'!$D$320*IF('Model Inputs'!$D$318=1,1.02^(U$5-1),1)+IF(U$5&gt;='Model Inputs'!$D$322,'Model Inputs'!$D$324,0),0)</f>
        <v>196.47515702558997</v>
      </c>
      <c r="V120" s="82">
        <f>IF(V$5&lt;='Model Inputs'!$D$315,'Model Inputs'!$D$316*'Model Inputs'!$D$320*IF('Model Inputs'!$D$318=1,1.02^(V$5-1),1)+IF(V$5&gt;='Model Inputs'!$D$322,'Model Inputs'!$D$324,0),0)</f>
        <v>369.90182487028324</v>
      </c>
      <c r="W120" s="82">
        <f>IF(W$5&lt;='Model Inputs'!$D$315,'Model Inputs'!$D$316*'Model Inputs'!$D$320*IF('Model Inputs'!$D$318=1,1.02^(W$5-1),1)+IF(W$5&gt;='Model Inputs'!$D$322,'Model Inputs'!$D$324,0),0)</f>
        <v>369.90182487028324</v>
      </c>
      <c r="X120" s="82">
        <f>IF(X$5&lt;='Model Inputs'!$D$315,'Model Inputs'!$D$316*'Model Inputs'!$D$320*IF('Model Inputs'!$D$318=1,1.02^(X$5-1),1)+IF(X$5&gt;='Model Inputs'!$D$322,'Model Inputs'!$D$324,0),0)</f>
        <v>369.90182487028324</v>
      </c>
      <c r="Y120" s="82">
        <f>IF(Y$5&lt;='Model Inputs'!$D$315,'Model Inputs'!$D$316*'Model Inputs'!$D$320*IF('Model Inputs'!$D$318=1,1.02^(Y$5-1),1)+IF(Y$5&gt;='Model Inputs'!$D$322,'Model Inputs'!$D$324,0),0)</f>
        <v>369.90182487028324</v>
      </c>
      <c r="Z120" s="82">
        <f>IF(Z$5&lt;='Model Inputs'!$D$315,'Model Inputs'!$D$316*'Model Inputs'!$D$320*IF('Model Inputs'!$D$318=1,1.02^(Z$5-1),1)+IF(Z$5&gt;='Model Inputs'!$D$322,'Model Inputs'!$D$324,0),0)</f>
        <v>369.90182487028324</v>
      </c>
      <c r="AA120" s="82">
        <f>IF(AA$5&lt;='Model Inputs'!$D$315,'Model Inputs'!$D$316*'Model Inputs'!$D$320*IF('Model Inputs'!$D$318=1,1.02^(AA$5-1),1)+IF(AA$5&gt;='Model Inputs'!$D$322,'Model Inputs'!$D$324,0),0)</f>
        <v>369.90182487028324</v>
      </c>
      <c r="AB120" s="82">
        <f>IF(AB$5&lt;='Model Inputs'!$D$315,'Model Inputs'!$D$316*'Model Inputs'!$D$320*IF('Model Inputs'!$D$318=1,1.02^(AB$5-1),1)+IF(AB$5&gt;='Model Inputs'!$D$322,'Model Inputs'!$D$324,0),0)</f>
        <v>369.90182487028324</v>
      </c>
      <c r="AC120" s="82">
        <f>IF(AC$5&lt;='Model Inputs'!$D$315,'Model Inputs'!$D$316*'Model Inputs'!$D$320*IF('Model Inputs'!$D$318=1,1.02^(AC$5-1),1)+IF(AC$5&gt;='Model Inputs'!$D$322,'Model Inputs'!$D$324,0),0)</f>
        <v>369.90182487028324</v>
      </c>
      <c r="AD120" s="82">
        <f>IF(AD$5&lt;='Model Inputs'!$D$315,'Model Inputs'!$D$316*'Model Inputs'!$D$320*IF('Model Inputs'!$D$318=1,1.02^(AD$5-1),1)+IF(AD$5&gt;='Model Inputs'!$D$322,'Model Inputs'!$D$324,0),0)</f>
        <v>369.90182487028324</v>
      </c>
      <c r="AE120" s="82">
        <f>IF(AE$5&lt;='Model Inputs'!$D$315,'Model Inputs'!$D$316*'Model Inputs'!$D$320*IF('Model Inputs'!$D$318=1,1.02^(AE$5-1),1)+IF(AE$5&gt;='Model Inputs'!$D$322,'Model Inputs'!$D$324,0),0)</f>
        <v>369.90182487028324</v>
      </c>
      <c r="AF120" s="82">
        <f>IF(AF$5&lt;='Model Inputs'!$D$315,'Model Inputs'!$D$316*'Model Inputs'!$D$320*IF('Model Inputs'!$D$318=1,1.02^(AF$5-1),1)+IF(AF$5&gt;='Model Inputs'!$D$322,'Model Inputs'!$D$324,0),0)</f>
        <v>369.90182487028324</v>
      </c>
      <c r="AG120" s="82">
        <f>IF(AG$5&lt;='Model Inputs'!$D$315,'Model Inputs'!$D$316*'Model Inputs'!$D$320*IF('Model Inputs'!$D$318=1,1.02^(AG$5-1),1)+IF(AG$5&gt;='Model Inputs'!$D$322,'Model Inputs'!$D$324,0),0)</f>
        <v>369.90182487028324</v>
      </c>
      <c r="AH120" s="82">
        <f>IF(AH$5&lt;='Model Inputs'!$D$315,'Model Inputs'!$D$316*'Model Inputs'!$D$320*IF('Model Inputs'!$D$318=1,1.02^(AH$5-1),1)+IF(AH$5&gt;='Model Inputs'!$D$322,'Model Inputs'!$D$324,0),0)</f>
        <v>369.90182487028324</v>
      </c>
      <c r="AI120" s="82">
        <f>IF(AI$5&lt;='Model Inputs'!$D$315,'Model Inputs'!$D$316*'Model Inputs'!$D$320*IF('Model Inputs'!$D$318=1,1.02^(AI$5-1),1)+IF(AI$5&gt;='Model Inputs'!$D$322,'Model Inputs'!$D$324,0),0)</f>
        <v>369.90182487028324</v>
      </c>
      <c r="AJ120" s="82">
        <f>IF(AJ$5&lt;='Model Inputs'!$D$315,'Model Inputs'!$D$316*'Model Inputs'!$D$320*IF('Model Inputs'!$D$318=1,1.02^(AJ$5-1),1)+IF(AJ$5&gt;='Model Inputs'!$D$322,'Model Inputs'!$D$324,0),0)</f>
        <v>369.90182487028324</v>
      </c>
      <c r="AK120" s="82">
        <f>IF(AK$5&lt;='Model Inputs'!$D$315,'Model Inputs'!$D$316*'Model Inputs'!$D$320*IF('Model Inputs'!$D$318=1,1.02^(AK$5-1),1)+IF(AK$5&gt;='Model Inputs'!$D$322,'Model Inputs'!$D$324,0),0)</f>
        <v>369.90182487028324</v>
      </c>
      <c r="AL120" s="82">
        <f>IF(AL$5&lt;='Model Inputs'!$D$315,'Model Inputs'!$D$316*'Model Inputs'!$D$320*IF('Model Inputs'!$D$318=1,1.02^(AL$5-1),1)+IF(AL$5&gt;='Model Inputs'!$D$322,'Model Inputs'!$D$324,0),0)</f>
        <v>369.90182487028324</v>
      </c>
      <c r="AM120" s="82">
        <f>IF(AM$5&lt;='Model Inputs'!$D$315,'Model Inputs'!$D$316*'Model Inputs'!$D$320*IF('Model Inputs'!$D$318=1,1.02^(AM$5-1),1)+IF(AM$5&gt;='Model Inputs'!$D$322,'Model Inputs'!$D$324,0),0)</f>
        <v>369.90182487028324</v>
      </c>
      <c r="AN120" s="82">
        <f>IF(AN$5&lt;='Model Inputs'!$D$315,'Model Inputs'!$D$316*'Model Inputs'!$D$320*IF('Model Inputs'!$D$318=1,1.02^(AN$5-1),1)+IF(AN$5&gt;='Model Inputs'!$D$322,'Model Inputs'!$D$324,0),0)</f>
        <v>0</v>
      </c>
      <c r="AO120" s="82">
        <f>IF(AO$5&lt;='Model Inputs'!$D$315,'Model Inputs'!$D$316*'Model Inputs'!$D$320*IF('Model Inputs'!$D$318=1,1.02^(AO$5-1),1)+IF(AO$5&gt;='Model Inputs'!$D$322,'Model Inputs'!$D$324,0),0)</f>
        <v>0</v>
      </c>
      <c r="AP120" s="82">
        <f>IF(AP$5&lt;='Model Inputs'!$D$315,'Model Inputs'!$D$316*'Model Inputs'!$D$320*IF('Model Inputs'!$D$318=1,1.02^(AP$5-1),1)+IF(AP$5&gt;='Model Inputs'!$D$322,'Model Inputs'!$D$324,0),0)</f>
        <v>0</v>
      </c>
      <c r="AQ120" s="82">
        <f>IF(AQ$5&lt;='Model Inputs'!$D$315,'Model Inputs'!$D$316*'Model Inputs'!$D$320*IF('Model Inputs'!$D$318=1,1.02^(AQ$5-1),1)+IF(AQ$5&gt;='Model Inputs'!$D$322,'Model Inputs'!$D$324,0),0)</f>
        <v>0</v>
      </c>
      <c r="AR120" s="82">
        <f>IF(AR$5&lt;='Model Inputs'!$D$315,'Model Inputs'!$D$316*'Model Inputs'!$D$320*IF('Model Inputs'!$D$318=1,1.02^(AR$5-1),1)+IF(AR$5&gt;='Model Inputs'!$D$322,'Model Inputs'!$D$324,0),0)</f>
        <v>0</v>
      </c>
      <c r="AS120" s="82">
        <f>IF(AS$5&lt;='Model Inputs'!$D$315,'Model Inputs'!$D$316*'Model Inputs'!$D$320*IF('Model Inputs'!$D$318=1,1.02^(AS$5-1),1)+IF(AS$5&gt;='Model Inputs'!$D$322,'Model Inputs'!$D$324,0),0)</f>
        <v>0</v>
      </c>
      <c r="AT120" s="82">
        <f>IF(AT$5&lt;='Model Inputs'!$D$315,'Model Inputs'!$D$316*'Model Inputs'!$D$320*IF('Model Inputs'!$D$318=1,1.02^(AT$5-1),1)+IF(AT$5&gt;='Model Inputs'!$D$322,'Model Inputs'!$D$324,0),0)</f>
        <v>0</v>
      </c>
      <c r="AU120" s="82">
        <f>IF(AU$5&lt;='Model Inputs'!$D$315,'Model Inputs'!$D$316*'Model Inputs'!$D$320*IF('Model Inputs'!$D$318=1,1.02^(AU$5-1),1)+IF(AU$5&gt;='Model Inputs'!$D$322,'Model Inputs'!$D$324,0),0)</f>
        <v>0</v>
      </c>
      <c r="AV120" s="82">
        <f>IF(AV$5&lt;='Model Inputs'!$D$315,'Model Inputs'!$D$316*'Model Inputs'!$D$320*IF('Model Inputs'!$D$318=1,1.02^(AV$5-1),1)+IF(AV$5&gt;='Model Inputs'!$D$322,'Model Inputs'!$D$324,0),0)</f>
        <v>0</v>
      </c>
      <c r="AW120" s="82">
        <f>IF(AW$5&lt;='Model Inputs'!$D$315,'Model Inputs'!$D$316*'Model Inputs'!$D$320*IF('Model Inputs'!$D$318=1,1.02^(AW$5-1),1)+IF(AW$5&gt;='Model Inputs'!$D$322,'Model Inputs'!$D$324,0),0)</f>
        <v>0</v>
      </c>
      <c r="AX120" s="82">
        <f>IF(AX$5&lt;='Model Inputs'!$D$315,'Model Inputs'!$D$316*'Model Inputs'!$D$320*IF('Model Inputs'!$D$318=1,1.02^(AX$5-1),1)+IF(AX$5&gt;='Model Inputs'!$D$322,'Model Inputs'!$D$324,0),0)</f>
        <v>0</v>
      </c>
      <c r="AY120" s="82">
        <f>IF(AY$5&lt;='Model Inputs'!$D$315,'Model Inputs'!$D$316*'Model Inputs'!$D$320*IF('Model Inputs'!$D$318=1,1.02^(AY$5-1),1)+IF(AY$5&gt;='Model Inputs'!$D$322,'Model Inputs'!$D$324,0),0)</f>
        <v>0</v>
      </c>
      <c r="AZ120" s="82">
        <f>IF(AZ$5&lt;='Model Inputs'!$D$315,'Model Inputs'!$D$316*'Model Inputs'!$D$320*IF('Model Inputs'!$D$318=1,1.02^(AZ$5-1),1)+IF(AZ$5&gt;='Model Inputs'!$D$322,'Model Inputs'!$D$324,0),0)</f>
        <v>0</v>
      </c>
      <c r="BA120" s="82">
        <f>IF(BA$5&lt;='Model Inputs'!$D$315,'Model Inputs'!$D$316*'Model Inputs'!$D$320*IF('Model Inputs'!$D$318=1,1.02^(BA$5-1),1)+IF(BA$5&gt;='Model Inputs'!$D$322,'Model Inputs'!$D$324,0),0)</f>
        <v>0</v>
      </c>
      <c r="BB120" s="82">
        <f>IF(BB$5&lt;='Model Inputs'!$D$315,'Model Inputs'!$D$316*'Model Inputs'!$D$320*IF('Model Inputs'!$D$318=1,1.02^(BB$5-1),1)+IF(BB$5&gt;='Model Inputs'!$D$322,'Model Inputs'!$D$324,0),0)</f>
        <v>0</v>
      </c>
      <c r="BC120" s="82">
        <f>IF(BC$5&lt;='Model Inputs'!$D$315,'Model Inputs'!$D$316*'Model Inputs'!$D$320*IF('Model Inputs'!$D$318=1,1.02^(BC$5-1),1)+IF(BC$5&gt;='Model Inputs'!$D$322,'Model Inputs'!$D$324,0),0)</f>
        <v>0</v>
      </c>
      <c r="BD120" s="82">
        <f>IF(BD$5&lt;='Model Inputs'!$D$315,'Model Inputs'!$D$316*'Model Inputs'!$D$320*IF('Model Inputs'!$D$318=1,1.02^(BD$5-1),1)+IF(BD$5&gt;='Model Inputs'!$D$322,'Model Inputs'!$D$324,0),0)</f>
        <v>0</v>
      </c>
      <c r="BE120" s="82">
        <f>IF(BE$5&lt;='Model Inputs'!$D$315,'Model Inputs'!$D$316*'Model Inputs'!$D$320*IF('Model Inputs'!$D$318=1,1.02^(BE$5-1),1)+IF(BE$5&gt;='Model Inputs'!$D$322,'Model Inputs'!$D$324,0),0)</f>
        <v>0</v>
      </c>
      <c r="BF120" s="82">
        <f>IF(BF$5&lt;='Model Inputs'!$D$315,'Model Inputs'!$D$316*'Model Inputs'!$D$320*IF('Model Inputs'!$D$318=1,1.02^(BF$5-1),1)+IF(BF$5&gt;='Model Inputs'!$D$322,'Model Inputs'!$D$324,0),0)</f>
        <v>0</v>
      </c>
      <c r="BG120" s="82">
        <f>IF(BG$5&lt;='Model Inputs'!$D$315,'Model Inputs'!$D$316*'Model Inputs'!$D$320*IF('Model Inputs'!$D$318=1,1.02^(BG$5-1),1)+IF(BG$5&gt;='Model Inputs'!$D$322,'Model Inputs'!$D$324,0),0)</f>
        <v>0</v>
      </c>
      <c r="BH120" s="82">
        <f>IF(BH$5&lt;='Model Inputs'!$D$315,'Model Inputs'!$D$316*'Model Inputs'!$D$320*IF('Model Inputs'!$D$318=1,1.02^(BH$5-1),1)+IF(BH$5&gt;='Model Inputs'!$D$322,'Model Inputs'!$D$324,0),0)</f>
        <v>0</v>
      </c>
      <c r="BI120" s="82">
        <f>IF(BI$5&lt;='Model Inputs'!$D$315,'Model Inputs'!$D$316*'Model Inputs'!$D$320*IF('Model Inputs'!$D$318=1,1.02^(BI$5-1),1)+IF(BI$5&gt;='Model Inputs'!$D$322,'Model Inputs'!$D$324,0),0)</f>
        <v>0</v>
      </c>
      <c r="BJ120" s="82">
        <f>IF(BJ$5&lt;='Model Inputs'!$D$315,'Model Inputs'!$D$316*'Model Inputs'!$D$320*IF('Model Inputs'!$D$318=1,1.02^(BJ$5-1),1)+IF(BJ$5&gt;='Model Inputs'!$D$322,'Model Inputs'!$D$324,0),0)</f>
        <v>0</v>
      </c>
      <c r="BK120" s="82">
        <f>IF(BK$5&lt;='Model Inputs'!$D$315,'Model Inputs'!$D$316*'Model Inputs'!$D$320*IF('Model Inputs'!$D$318=1,1.02^(BK$5-1),1)+IF(BK$5&gt;='Model Inputs'!$D$322,'Model Inputs'!$D$324,0),0)</f>
        <v>0</v>
      </c>
      <c r="BL120" s="82">
        <f>IF(BL$5&lt;='Model Inputs'!$D$315,'Model Inputs'!$D$316*'Model Inputs'!$D$320*IF('Model Inputs'!$D$318=1,1.02^(BL$5-1),1)+IF(BL$5&gt;='Model Inputs'!$D$322,'Model Inputs'!$D$324,0),0)</f>
        <v>0</v>
      </c>
      <c r="BM120" s="82">
        <f>IF(BM$5&lt;='Model Inputs'!$D$315,'Model Inputs'!$D$316*'Model Inputs'!$D$320*IF('Model Inputs'!$D$318=1,1.02^(BM$5-1),1)+IF(BM$5&gt;='Model Inputs'!$D$322,'Model Inputs'!$D$324,0),0)</f>
        <v>0</v>
      </c>
      <c r="BN120" s="82">
        <f>IF(BN$5&lt;='Model Inputs'!$D$315,'Model Inputs'!$D$316*'Model Inputs'!$D$320*IF('Model Inputs'!$D$318=1,1.02^(BN$5-1),1)+IF(BN$5&gt;='Model Inputs'!$D$322,'Model Inputs'!$D$324,0),0)</f>
        <v>0</v>
      </c>
      <c r="BO120" s="82">
        <f>IF(BO$5&lt;='Model Inputs'!$D$315,'Model Inputs'!$D$316*'Model Inputs'!$D$320*IF('Model Inputs'!$D$318=1,1.02^(BO$5-1),1)+IF(BO$5&gt;='Model Inputs'!$D$322,'Model Inputs'!$D$324,0),0)</f>
        <v>0</v>
      </c>
    </row>
    <row r="121" spans="1:67" ht="15.75" customHeight="1" x14ac:dyDescent="0.2">
      <c r="A121" s="11" t="s">
        <v>269</v>
      </c>
      <c r="B121" s="83">
        <f>SUM(C121:BO121)</f>
        <v>25121.999999999996</v>
      </c>
      <c r="C121" s="83">
        <f t="shared" ref="C121:AH121" si="57">SUM(C118:C120)</f>
        <v>475</v>
      </c>
      <c r="D121" s="83">
        <f t="shared" si="57"/>
        <v>478.20125781111949</v>
      </c>
      <c r="E121" s="83">
        <f t="shared" si="57"/>
        <v>481.46654077846142</v>
      </c>
      <c r="F121" s="83">
        <f t="shared" si="57"/>
        <v>484.79712940515014</v>
      </c>
      <c r="G121" s="83">
        <f t="shared" si="57"/>
        <v>488.19432980437261</v>
      </c>
      <c r="H121" s="83">
        <f t="shared" si="57"/>
        <v>491.65947421157961</v>
      </c>
      <c r="I121" s="83">
        <f t="shared" si="57"/>
        <v>495.19392150693068</v>
      </c>
      <c r="J121" s="83">
        <f t="shared" si="57"/>
        <v>498.79905774818877</v>
      </c>
      <c r="K121" s="83">
        <f t="shared" si="57"/>
        <v>502.47629671427205</v>
      </c>
      <c r="L121" s="83">
        <f t="shared" si="57"/>
        <v>506.22708045967698</v>
      </c>
      <c r="M121" s="83">
        <f t="shared" si="57"/>
        <v>510.05287987999003</v>
      </c>
      <c r="N121" s="83">
        <f t="shared" si="57"/>
        <v>513.95519528870932</v>
      </c>
      <c r="O121" s="83">
        <f t="shared" si="57"/>
        <v>517.93555700560296</v>
      </c>
      <c r="P121" s="83">
        <f t="shared" si="57"/>
        <v>521.99552595683463</v>
      </c>
      <c r="Q121" s="83">
        <f t="shared" si="57"/>
        <v>707.20453214554914</v>
      </c>
      <c r="R121" s="83">
        <f t="shared" si="57"/>
        <v>711.42852384241041</v>
      </c>
      <c r="S121" s="83">
        <f t="shared" si="57"/>
        <v>715.73699537320897</v>
      </c>
      <c r="T121" s="83">
        <f t="shared" si="57"/>
        <v>720.13163633462352</v>
      </c>
      <c r="U121" s="83">
        <f t="shared" si="57"/>
        <v>724.61417011526623</v>
      </c>
      <c r="V121" s="83">
        <f t="shared" si="57"/>
        <v>902.61302241621524</v>
      </c>
      <c r="W121" s="83">
        <f t="shared" si="57"/>
        <v>907.27665056159594</v>
      </c>
      <c r="X121" s="83">
        <f t="shared" si="57"/>
        <v>912.03355126988436</v>
      </c>
      <c r="Y121" s="83">
        <f t="shared" si="57"/>
        <v>916.88558999233851</v>
      </c>
      <c r="Z121" s="83">
        <f t="shared" si="57"/>
        <v>921.83466948924172</v>
      </c>
      <c r="AA121" s="83">
        <f t="shared" si="57"/>
        <v>926.88273057608308</v>
      </c>
      <c r="AB121" s="83">
        <f t="shared" si="57"/>
        <v>951.22466745631459</v>
      </c>
      <c r="AC121" s="83">
        <f t="shared" si="57"/>
        <v>956.47667021106429</v>
      </c>
      <c r="AD121" s="83">
        <f t="shared" si="57"/>
        <v>961.83371302090893</v>
      </c>
      <c r="AE121" s="83">
        <f t="shared" si="57"/>
        <v>507.55669186037176</v>
      </c>
      <c r="AF121" s="83">
        <f t="shared" si="57"/>
        <v>507.55669186037176</v>
      </c>
      <c r="AG121" s="83">
        <f t="shared" si="57"/>
        <v>507.55669186037176</v>
      </c>
      <c r="AH121" s="83">
        <f t="shared" si="57"/>
        <v>507.55669186037176</v>
      </c>
      <c r="AI121" s="83">
        <f t="shared" ref="AI121:BN121" si="58">SUM(AI118:AI120)</f>
        <v>507.55669186037176</v>
      </c>
      <c r="AJ121" s="83">
        <f t="shared" si="58"/>
        <v>507.55669186037176</v>
      </c>
      <c r="AK121" s="83">
        <f t="shared" si="58"/>
        <v>507.55669186037176</v>
      </c>
      <c r="AL121" s="83">
        <f t="shared" si="58"/>
        <v>507.55669186037176</v>
      </c>
      <c r="AM121" s="83">
        <f t="shared" si="58"/>
        <v>507.55669186037176</v>
      </c>
      <c r="AN121" s="83">
        <f t="shared" si="58"/>
        <v>137.65486699008852</v>
      </c>
      <c r="AO121" s="83">
        <f t="shared" si="58"/>
        <v>137.65486699008852</v>
      </c>
      <c r="AP121" s="83">
        <f t="shared" si="58"/>
        <v>137.65486699008852</v>
      </c>
      <c r="AQ121" s="83">
        <f t="shared" si="58"/>
        <v>137.65486699008852</v>
      </c>
      <c r="AR121" s="83">
        <f t="shared" si="58"/>
        <v>137.65486699008852</v>
      </c>
      <c r="AS121" s="83">
        <f t="shared" si="58"/>
        <v>137.65486699008852</v>
      </c>
      <c r="AT121" s="83">
        <f t="shared" si="58"/>
        <v>137.65486699008852</v>
      </c>
      <c r="AU121" s="83">
        <f t="shared" si="58"/>
        <v>137.65486699008852</v>
      </c>
      <c r="AV121" s="83">
        <f t="shared" si="58"/>
        <v>137.65486699008852</v>
      </c>
      <c r="AW121" s="83">
        <f t="shared" si="58"/>
        <v>137.65486699008852</v>
      </c>
      <c r="AX121" s="83">
        <f t="shared" si="58"/>
        <v>137.65486699008852</v>
      </c>
      <c r="AY121" s="83">
        <f t="shared" si="58"/>
        <v>137.65486699008852</v>
      </c>
      <c r="AZ121" s="83">
        <f t="shared" si="58"/>
        <v>0</v>
      </c>
      <c r="BA121" s="83">
        <f t="shared" si="58"/>
        <v>0</v>
      </c>
      <c r="BB121" s="83">
        <f t="shared" si="58"/>
        <v>0</v>
      </c>
      <c r="BC121" s="83">
        <f t="shared" si="58"/>
        <v>0</v>
      </c>
      <c r="BD121" s="83">
        <f t="shared" si="58"/>
        <v>0</v>
      </c>
      <c r="BE121" s="83">
        <f t="shared" si="58"/>
        <v>0</v>
      </c>
      <c r="BF121" s="83">
        <f t="shared" si="58"/>
        <v>0</v>
      </c>
      <c r="BG121" s="83">
        <f t="shared" si="58"/>
        <v>0</v>
      </c>
      <c r="BH121" s="83">
        <f t="shared" si="58"/>
        <v>0</v>
      </c>
      <c r="BI121" s="83">
        <f t="shared" si="58"/>
        <v>0</v>
      </c>
      <c r="BJ121" s="83">
        <f t="shared" si="58"/>
        <v>0</v>
      </c>
      <c r="BK121" s="83">
        <f t="shared" si="58"/>
        <v>0</v>
      </c>
      <c r="BL121" s="83">
        <f t="shared" si="58"/>
        <v>0</v>
      </c>
      <c r="BM121" s="83">
        <f t="shared" si="58"/>
        <v>0</v>
      </c>
      <c r="BN121" s="83">
        <f t="shared" si="58"/>
        <v>0</v>
      </c>
      <c r="BO121" s="83">
        <f t="shared" ref="BO121" si="59">SUM(BO118:BO120)</f>
        <v>0</v>
      </c>
    </row>
    <row r="122" spans="1:67" ht="15.75" customHeight="1" x14ac:dyDescent="0.2">
      <c r="A122" s="17" t="s">
        <v>746</v>
      </c>
    </row>
    <row r="124" spans="1:67" ht="28" x14ac:dyDescent="0.2">
      <c r="A124" s="5" t="s">
        <v>270</v>
      </c>
    </row>
    <row r="125" spans="1:67" x14ac:dyDescent="0.2">
      <c r="A125" s="5" t="s">
        <v>271</v>
      </c>
      <c r="C125" s="27">
        <f>'Model Inputs'!$B$282</f>
        <v>79841</v>
      </c>
      <c r="D125" s="27">
        <f t="shared" ref="D125:AI125" si="60">C129</f>
        <v>72308.078390053546</v>
      </c>
      <c r="E125" s="27">
        <f t="shared" si="60"/>
        <v>65636.739081532884</v>
      </c>
      <c r="F125" s="27">
        <f t="shared" si="60"/>
        <v>59133.110348795199</v>
      </c>
      <c r="G125" s="27">
        <f t="shared" si="60"/>
        <v>54107.589270767756</v>
      </c>
      <c r="H125" s="27">
        <f t="shared" si="60"/>
        <v>47692.403513690137</v>
      </c>
      <c r="I125" s="27">
        <f t="shared" si="60"/>
        <v>38287.955177581796</v>
      </c>
      <c r="J125" s="27">
        <f t="shared" si="60"/>
        <v>31234.618925500545</v>
      </c>
      <c r="K125" s="27">
        <f t="shared" si="60"/>
        <v>25944.616736439606</v>
      </c>
      <c r="L125" s="27">
        <f t="shared" si="60"/>
        <v>21977.115094643901</v>
      </c>
      <c r="M125" s="27">
        <f t="shared" si="60"/>
        <v>19001.488863297123</v>
      </c>
      <c r="N125" s="27">
        <f t="shared" si="60"/>
        <v>16769.769189787039</v>
      </c>
      <c r="O125" s="27">
        <f t="shared" si="60"/>
        <v>15095.979434654477</v>
      </c>
      <c r="P125" s="27">
        <f t="shared" si="60"/>
        <v>13840.637118305054</v>
      </c>
      <c r="Q125" s="27">
        <f t="shared" si="60"/>
        <v>12899.130381042989</v>
      </c>
      <c r="R125" s="27">
        <f t="shared" si="60"/>
        <v>12193.000328096439</v>
      </c>
      <c r="S125" s="27">
        <f t="shared" si="60"/>
        <v>11663.402788386526</v>
      </c>
      <c r="T125" s="27">
        <f t="shared" si="60"/>
        <v>11266.204633604091</v>
      </c>
      <c r="U125" s="27">
        <f t="shared" si="60"/>
        <v>10968.306017517265</v>
      </c>
      <c r="V125" s="27">
        <f t="shared" si="60"/>
        <v>10744.882055452146</v>
      </c>
      <c r="W125" s="27">
        <f t="shared" si="60"/>
        <v>10577.314083903306</v>
      </c>
      <c r="X125" s="27">
        <f t="shared" si="60"/>
        <v>10451.638105241676</v>
      </c>
      <c r="Y125" s="27">
        <f t="shared" si="60"/>
        <v>10357.381121245455</v>
      </c>
      <c r="Z125" s="27">
        <f t="shared" si="60"/>
        <v>10286.688383248287</v>
      </c>
      <c r="AA125" s="27">
        <f t="shared" si="60"/>
        <v>10233.668829750412</v>
      </c>
      <c r="AB125" s="27">
        <f t="shared" si="60"/>
        <v>10193.904164627005</v>
      </c>
      <c r="AC125" s="27">
        <f t="shared" si="60"/>
        <v>10164.080665784451</v>
      </c>
      <c r="AD125" s="27">
        <f t="shared" si="60"/>
        <v>10141.713041652536</v>
      </c>
      <c r="AE125" s="27">
        <f t="shared" si="60"/>
        <v>10101.706869070726</v>
      </c>
      <c r="AF125" s="27">
        <f t="shared" si="60"/>
        <v>9026.8655070596396</v>
      </c>
      <c r="AG125" s="27">
        <f t="shared" si="60"/>
        <v>8220.7344855513256</v>
      </c>
      <c r="AH125" s="27">
        <f t="shared" si="60"/>
        <v>7616.1362194200901</v>
      </c>
      <c r="AI125" s="27">
        <f t="shared" si="60"/>
        <v>7162.687519821664</v>
      </c>
      <c r="AJ125" s="27">
        <f t="shared" ref="AJ125:BO125" si="61">AI129</f>
        <v>6822.6009951228443</v>
      </c>
      <c r="AK125" s="27">
        <f t="shared" si="61"/>
        <v>6567.5361015987291</v>
      </c>
      <c r="AL125" s="27">
        <f t="shared" si="61"/>
        <v>6376.2374314556428</v>
      </c>
      <c r="AM125" s="27">
        <f t="shared" si="61"/>
        <v>6232.7634288483277</v>
      </c>
      <c r="AN125" s="27">
        <f t="shared" si="61"/>
        <v>5846.9211541456934</v>
      </c>
      <c r="AO125" s="27">
        <f t="shared" si="61"/>
        <v>4836.889476443429</v>
      </c>
      <c r="AP125" s="27">
        <f t="shared" si="61"/>
        <v>4079.3657181667304</v>
      </c>
      <c r="AQ125" s="27">
        <f t="shared" si="61"/>
        <v>3511.2228994592069</v>
      </c>
      <c r="AR125" s="27">
        <f t="shared" si="61"/>
        <v>3085.1157854285639</v>
      </c>
      <c r="AS125" s="27">
        <f t="shared" si="61"/>
        <v>2765.5354499055816</v>
      </c>
      <c r="AT125" s="27">
        <f t="shared" si="61"/>
        <v>2525.8501982633447</v>
      </c>
      <c r="AU125" s="27">
        <f t="shared" si="61"/>
        <v>2346.0862595316671</v>
      </c>
      <c r="AV125" s="27">
        <f t="shared" si="61"/>
        <v>2211.2633054829089</v>
      </c>
      <c r="AW125" s="27">
        <f t="shared" si="61"/>
        <v>2110.14608994634</v>
      </c>
      <c r="AX125" s="27">
        <f t="shared" si="61"/>
        <v>2034.3081782939134</v>
      </c>
      <c r="AY125" s="27">
        <f t="shared" si="61"/>
        <v>1977.4297445545935</v>
      </c>
      <c r="AZ125" s="27">
        <f t="shared" si="61"/>
        <v>1917.5781459342525</v>
      </c>
      <c r="BA125" s="27">
        <f t="shared" si="61"/>
        <v>1917.5781459342525</v>
      </c>
      <c r="BB125" s="27">
        <f t="shared" si="61"/>
        <v>1917.5781459342525</v>
      </c>
      <c r="BC125" s="27">
        <f t="shared" si="61"/>
        <v>1917.5781459342525</v>
      </c>
      <c r="BD125" s="27">
        <f t="shared" si="61"/>
        <v>1917.5781459342525</v>
      </c>
      <c r="BE125" s="27">
        <f t="shared" si="61"/>
        <v>1917.5781459342525</v>
      </c>
      <c r="BF125" s="27">
        <f t="shared" si="61"/>
        <v>1917.5781459342525</v>
      </c>
      <c r="BG125" s="27">
        <f t="shared" si="61"/>
        <v>1917.5781459342525</v>
      </c>
      <c r="BH125" s="27">
        <f t="shared" si="61"/>
        <v>1917.5781459342525</v>
      </c>
      <c r="BI125" s="27">
        <f t="shared" si="61"/>
        <v>1917.5781459342525</v>
      </c>
      <c r="BJ125" s="27">
        <f t="shared" si="61"/>
        <v>1917.5781459342525</v>
      </c>
      <c r="BK125" s="27">
        <f t="shared" si="61"/>
        <v>1917.5781459342525</v>
      </c>
      <c r="BL125" s="27">
        <f t="shared" si="61"/>
        <v>1917.5781459342525</v>
      </c>
      <c r="BM125" s="27">
        <f t="shared" si="61"/>
        <v>1917.5781459342525</v>
      </c>
      <c r="BN125" s="27">
        <f t="shared" si="61"/>
        <v>1917.5781459342525</v>
      </c>
      <c r="BO125" s="27">
        <f t="shared" si="61"/>
        <v>1917.5781459342525</v>
      </c>
    </row>
    <row r="126" spans="1:67" x14ac:dyDescent="0.2">
      <c r="A126" s="5" t="s">
        <v>272</v>
      </c>
      <c r="C126" s="27">
        <f t="shared" ref="C126:AH126" si="62">C79</f>
        <v>5194</v>
      </c>
      <c r="D126" s="27">
        <f t="shared" si="62"/>
        <v>5562</v>
      </c>
      <c r="E126" s="27">
        <f t="shared" si="62"/>
        <v>5667</v>
      </c>
      <c r="F126" s="27">
        <f t="shared" si="62"/>
        <v>6264</v>
      </c>
      <c r="G126" s="27">
        <f t="shared" si="62"/>
        <v>5770</v>
      </c>
      <c r="H126" s="27">
        <f t="shared" si="62"/>
        <v>3358.2033897522624</v>
      </c>
      <c r="I126" s="27">
        <f t="shared" si="62"/>
        <v>3358.2033897522624</v>
      </c>
      <c r="J126" s="27">
        <f t="shared" si="62"/>
        <v>3358.2033897522624</v>
      </c>
      <c r="K126" s="27">
        <f t="shared" si="62"/>
        <v>3358.2033897522624</v>
      </c>
      <c r="L126" s="27">
        <f t="shared" si="62"/>
        <v>3358.2033897522624</v>
      </c>
      <c r="M126" s="27">
        <f t="shared" si="62"/>
        <v>3358.2033897522624</v>
      </c>
      <c r="N126" s="27">
        <f t="shared" si="62"/>
        <v>3358.2033897522624</v>
      </c>
      <c r="O126" s="27">
        <f t="shared" si="62"/>
        <v>3358.2033897522624</v>
      </c>
      <c r="P126" s="27">
        <f t="shared" si="62"/>
        <v>3358.2033897522624</v>
      </c>
      <c r="Q126" s="27">
        <f t="shared" si="62"/>
        <v>3358.2033897522624</v>
      </c>
      <c r="R126" s="27">
        <f t="shared" si="62"/>
        <v>3358.2033897522624</v>
      </c>
      <c r="S126" s="27">
        <f t="shared" si="62"/>
        <v>3358.2033897522624</v>
      </c>
      <c r="T126" s="27">
        <f t="shared" si="62"/>
        <v>3358.2033897522624</v>
      </c>
      <c r="U126" s="27">
        <f t="shared" si="62"/>
        <v>3358.2033897522624</v>
      </c>
      <c r="V126" s="27">
        <f t="shared" si="62"/>
        <v>3358.2033897522624</v>
      </c>
      <c r="W126" s="27">
        <f t="shared" si="62"/>
        <v>3358.2033897522624</v>
      </c>
      <c r="X126" s="27">
        <f t="shared" si="62"/>
        <v>3358.2033897522624</v>
      </c>
      <c r="Y126" s="27">
        <f t="shared" si="62"/>
        <v>3358.2033897522624</v>
      </c>
      <c r="Z126" s="27">
        <f t="shared" si="62"/>
        <v>3358.2033897522624</v>
      </c>
      <c r="AA126" s="27">
        <f t="shared" si="62"/>
        <v>3358.2033897522624</v>
      </c>
      <c r="AB126" s="27">
        <f t="shared" si="62"/>
        <v>3358.2033897522624</v>
      </c>
      <c r="AC126" s="27">
        <f t="shared" si="62"/>
        <v>3358.2033897522624</v>
      </c>
      <c r="AD126" s="27">
        <f t="shared" si="62"/>
        <v>3327.2294504417646</v>
      </c>
      <c r="AE126" s="27">
        <f t="shared" si="62"/>
        <v>1934.1138070087943</v>
      </c>
      <c r="AF126" s="27">
        <f t="shared" si="62"/>
        <v>1934.1138070087943</v>
      </c>
      <c r="AG126" s="27">
        <f t="shared" si="62"/>
        <v>1934.1138070087943</v>
      </c>
      <c r="AH126" s="27">
        <f t="shared" si="62"/>
        <v>1934.1138070087943</v>
      </c>
      <c r="AI126" s="27">
        <f t="shared" ref="AI126:BO126" si="63">AI79</f>
        <v>1934.1138070087943</v>
      </c>
      <c r="AJ126" s="27">
        <f t="shared" si="63"/>
        <v>1934.1138070087943</v>
      </c>
      <c r="AK126" s="27">
        <f t="shared" si="63"/>
        <v>1934.1138070087943</v>
      </c>
      <c r="AL126" s="27">
        <f t="shared" si="63"/>
        <v>1934.1138070087943</v>
      </c>
      <c r="AM126" s="27">
        <f t="shared" si="63"/>
        <v>1563.1314433459306</v>
      </c>
      <c r="AN126" s="27">
        <f t="shared" si="63"/>
        <v>602.26481444554486</v>
      </c>
      <c r="AO126" s="27">
        <f t="shared" si="63"/>
        <v>602.26481444554486</v>
      </c>
      <c r="AP126" s="27">
        <f t="shared" si="63"/>
        <v>602.26481444554486</v>
      </c>
      <c r="AQ126" s="27">
        <f t="shared" si="63"/>
        <v>602.26481444554486</v>
      </c>
      <c r="AR126" s="27">
        <f t="shared" si="63"/>
        <v>602.26481444554486</v>
      </c>
      <c r="AS126" s="27">
        <f t="shared" si="63"/>
        <v>602.26481444554486</v>
      </c>
      <c r="AT126" s="27">
        <f t="shared" si="63"/>
        <v>602.26481444554486</v>
      </c>
      <c r="AU126" s="27">
        <f t="shared" si="63"/>
        <v>602.26481444554486</v>
      </c>
      <c r="AV126" s="27">
        <f t="shared" si="63"/>
        <v>602.26481444554486</v>
      </c>
      <c r="AW126" s="27">
        <f t="shared" si="63"/>
        <v>602.26481444554486</v>
      </c>
      <c r="AX126" s="27">
        <f t="shared" si="63"/>
        <v>602.26481444554486</v>
      </c>
      <c r="AY126" s="27">
        <f t="shared" si="63"/>
        <v>579.34111669107642</v>
      </c>
      <c r="AZ126" s="27">
        <f t="shared" si="63"/>
        <v>0</v>
      </c>
      <c r="BA126" s="27">
        <f t="shared" si="63"/>
        <v>0</v>
      </c>
      <c r="BB126" s="27">
        <f t="shared" si="63"/>
        <v>0</v>
      </c>
      <c r="BC126" s="27">
        <f t="shared" si="63"/>
        <v>0</v>
      </c>
      <c r="BD126" s="27">
        <f t="shared" si="63"/>
        <v>0</v>
      </c>
      <c r="BE126" s="27">
        <f t="shared" si="63"/>
        <v>0</v>
      </c>
      <c r="BF126" s="27">
        <f t="shared" si="63"/>
        <v>0</v>
      </c>
      <c r="BG126" s="27">
        <f t="shared" si="63"/>
        <v>0</v>
      </c>
      <c r="BH126" s="27">
        <f t="shared" si="63"/>
        <v>0</v>
      </c>
      <c r="BI126" s="27">
        <f t="shared" si="63"/>
        <v>0</v>
      </c>
      <c r="BJ126" s="27">
        <f t="shared" si="63"/>
        <v>0</v>
      </c>
      <c r="BK126" s="27">
        <f t="shared" si="63"/>
        <v>0</v>
      </c>
      <c r="BL126" s="27">
        <f t="shared" si="63"/>
        <v>0</v>
      </c>
      <c r="BM126" s="27">
        <f t="shared" si="63"/>
        <v>0</v>
      </c>
      <c r="BN126" s="27">
        <f t="shared" si="63"/>
        <v>0</v>
      </c>
      <c r="BO126" s="27">
        <f t="shared" si="63"/>
        <v>0</v>
      </c>
    </row>
    <row r="127" spans="1:67" x14ac:dyDescent="0.2">
      <c r="A127" s="5" t="s">
        <v>273</v>
      </c>
      <c r="C127" s="27">
        <f t="shared" ref="C127:AH127" si="64">C125+C126</f>
        <v>85035</v>
      </c>
      <c r="D127" s="27">
        <f t="shared" si="64"/>
        <v>77870.078390053546</v>
      </c>
      <c r="E127" s="27">
        <f t="shared" si="64"/>
        <v>71303.739081532884</v>
      </c>
      <c r="F127" s="27">
        <f t="shared" si="64"/>
        <v>65397.110348795199</v>
      </c>
      <c r="G127" s="27">
        <f t="shared" si="64"/>
        <v>59877.589270767756</v>
      </c>
      <c r="H127" s="27">
        <f t="shared" si="64"/>
        <v>51050.6069034424</v>
      </c>
      <c r="I127" s="27">
        <f t="shared" si="64"/>
        <v>41646.15856733406</v>
      </c>
      <c r="J127" s="27">
        <f t="shared" si="64"/>
        <v>34592.822315252808</v>
      </c>
      <c r="K127" s="27">
        <f t="shared" si="64"/>
        <v>29302.820126191869</v>
      </c>
      <c r="L127" s="27">
        <f t="shared" si="64"/>
        <v>25335.318484396164</v>
      </c>
      <c r="M127" s="27">
        <f t="shared" si="64"/>
        <v>22359.692253049387</v>
      </c>
      <c r="N127" s="27">
        <f t="shared" si="64"/>
        <v>20127.972579539302</v>
      </c>
      <c r="O127" s="27">
        <f t="shared" si="64"/>
        <v>18454.18282440674</v>
      </c>
      <c r="P127" s="27">
        <f t="shared" si="64"/>
        <v>17198.840508057317</v>
      </c>
      <c r="Q127" s="27">
        <f t="shared" si="64"/>
        <v>16257.333770795252</v>
      </c>
      <c r="R127" s="27">
        <f t="shared" si="64"/>
        <v>15551.203717848701</v>
      </c>
      <c r="S127" s="27">
        <f t="shared" si="64"/>
        <v>15021.606178138787</v>
      </c>
      <c r="T127" s="27">
        <f t="shared" si="64"/>
        <v>14624.408023356355</v>
      </c>
      <c r="U127" s="27">
        <f t="shared" si="64"/>
        <v>14326.509407269528</v>
      </c>
      <c r="V127" s="27">
        <f t="shared" si="64"/>
        <v>14103.085445204408</v>
      </c>
      <c r="W127" s="27">
        <f t="shared" si="64"/>
        <v>13935.517473655567</v>
      </c>
      <c r="X127" s="27">
        <f t="shared" si="64"/>
        <v>13809.84149499394</v>
      </c>
      <c r="Y127" s="27">
        <f t="shared" si="64"/>
        <v>13715.584510997716</v>
      </c>
      <c r="Z127" s="27">
        <f t="shared" si="64"/>
        <v>13644.891773000549</v>
      </c>
      <c r="AA127" s="27">
        <f t="shared" si="64"/>
        <v>13591.872219502675</v>
      </c>
      <c r="AB127" s="27">
        <f t="shared" si="64"/>
        <v>13552.107554379269</v>
      </c>
      <c r="AC127" s="27">
        <f t="shared" si="64"/>
        <v>13522.284055536715</v>
      </c>
      <c r="AD127" s="27">
        <f t="shared" si="64"/>
        <v>13468.9424920943</v>
      </c>
      <c r="AE127" s="27">
        <f t="shared" si="64"/>
        <v>12035.82067607952</v>
      </c>
      <c r="AF127" s="27">
        <f t="shared" si="64"/>
        <v>10960.979314068434</v>
      </c>
      <c r="AG127" s="27">
        <f t="shared" si="64"/>
        <v>10154.84829256012</v>
      </c>
      <c r="AH127" s="27">
        <f t="shared" si="64"/>
        <v>9550.2500264288847</v>
      </c>
      <c r="AI127" s="27">
        <f t="shared" ref="AI127:BN127" si="65">AI125+AI126</f>
        <v>9096.8013268304585</v>
      </c>
      <c r="AJ127" s="27">
        <f t="shared" si="65"/>
        <v>8756.7148021316389</v>
      </c>
      <c r="AK127" s="27">
        <f t="shared" si="65"/>
        <v>8501.6499086075237</v>
      </c>
      <c r="AL127" s="27">
        <f t="shared" si="65"/>
        <v>8310.3512384644364</v>
      </c>
      <c r="AM127" s="27">
        <f t="shared" si="65"/>
        <v>7795.8948721942579</v>
      </c>
      <c r="AN127" s="27">
        <f t="shared" si="65"/>
        <v>6449.1859685912386</v>
      </c>
      <c r="AO127" s="27">
        <f t="shared" si="65"/>
        <v>5439.1542908889742</v>
      </c>
      <c r="AP127" s="27">
        <f t="shared" si="65"/>
        <v>4681.6305326122756</v>
      </c>
      <c r="AQ127" s="27">
        <f t="shared" si="65"/>
        <v>4113.4877139047521</v>
      </c>
      <c r="AR127" s="27">
        <f t="shared" si="65"/>
        <v>3687.3805998741086</v>
      </c>
      <c r="AS127" s="27">
        <f t="shared" si="65"/>
        <v>3367.8002643511263</v>
      </c>
      <c r="AT127" s="27">
        <f t="shared" si="65"/>
        <v>3128.1150127088895</v>
      </c>
      <c r="AU127" s="27">
        <f t="shared" si="65"/>
        <v>2948.3510739772119</v>
      </c>
      <c r="AV127" s="27">
        <f t="shared" si="65"/>
        <v>2813.5281199284536</v>
      </c>
      <c r="AW127" s="27">
        <f t="shared" si="65"/>
        <v>2712.4109043918847</v>
      </c>
      <c r="AX127" s="27">
        <f t="shared" si="65"/>
        <v>2636.5729927394582</v>
      </c>
      <c r="AY127" s="27">
        <f t="shared" si="65"/>
        <v>2556.7708612456699</v>
      </c>
      <c r="AZ127" s="27">
        <f t="shared" si="65"/>
        <v>1917.5781459342525</v>
      </c>
      <c r="BA127" s="27">
        <f t="shared" si="65"/>
        <v>1917.5781459342525</v>
      </c>
      <c r="BB127" s="27">
        <f t="shared" si="65"/>
        <v>1917.5781459342525</v>
      </c>
      <c r="BC127" s="27">
        <f t="shared" si="65"/>
        <v>1917.5781459342525</v>
      </c>
      <c r="BD127" s="27">
        <f t="shared" si="65"/>
        <v>1917.5781459342525</v>
      </c>
      <c r="BE127" s="27">
        <f t="shared" si="65"/>
        <v>1917.5781459342525</v>
      </c>
      <c r="BF127" s="27">
        <f t="shared" si="65"/>
        <v>1917.5781459342525</v>
      </c>
      <c r="BG127" s="27">
        <f t="shared" si="65"/>
        <v>1917.5781459342525</v>
      </c>
      <c r="BH127" s="27">
        <f t="shared" si="65"/>
        <v>1917.5781459342525</v>
      </c>
      <c r="BI127" s="27">
        <f t="shared" si="65"/>
        <v>1917.5781459342525</v>
      </c>
      <c r="BJ127" s="27">
        <f t="shared" si="65"/>
        <v>1917.5781459342525</v>
      </c>
      <c r="BK127" s="27">
        <f t="shared" si="65"/>
        <v>1917.5781459342525</v>
      </c>
      <c r="BL127" s="27">
        <f t="shared" si="65"/>
        <v>1917.5781459342525</v>
      </c>
      <c r="BM127" s="27">
        <f t="shared" si="65"/>
        <v>1917.5781459342525</v>
      </c>
      <c r="BN127" s="27">
        <f t="shared" si="65"/>
        <v>1917.5781459342525</v>
      </c>
      <c r="BO127" s="27">
        <f t="shared" ref="BO127" si="66">BO125+BO126</f>
        <v>1917.5781459342525</v>
      </c>
    </row>
    <row r="128" spans="1:67" x14ac:dyDescent="0.2">
      <c r="A128" s="5" t="s">
        <v>274</v>
      </c>
      <c r="C128" s="27">
        <f>MIN(C127*'Model Inputs'!$B$283,MAX(C81,0))</f>
        <v>12726.921609946454</v>
      </c>
      <c r="D128" s="27">
        <f>MIN(D127*'Model Inputs'!$B$283,MAX(D81,0))</f>
        <v>12233.339308520668</v>
      </c>
      <c r="E128" s="27">
        <f>MIN(E127*'Model Inputs'!$B$283,MAX(E81,0))</f>
        <v>12170.628732737687</v>
      </c>
      <c r="F128" s="27">
        <f>MIN(F127*'Model Inputs'!$B$283,MAX(F81,0))</f>
        <v>11289.521078027439</v>
      </c>
      <c r="G128" s="27">
        <f>MIN(G127*'Model Inputs'!$B$283,MAX(G81,0))</f>
        <v>12185.185757077623</v>
      </c>
      <c r="H128" s="27">
        <f>MIN(H127*'Model Inputs'!$B$283,MAX(H81,0))</f>
        <v>12762.6517258606</v>
      </c>
      <c r="I128" s="27">
        <f>MIN(I127*'Model Inputs'!$B$283,MAX(I81,0))</f>
        <v>10411.539641833515</v>
      </c>
      <c r="J128" s="27">
        <f>MIN(J127*'Model Inputs'!$B$283,MAX(J81,0))</f>
        <v>8648.205578813202</v>
      </c>
      <c r="K128" s="27">
        <f>MIN(K127*'Model Inputs'!$B$283,MAX(K81,0))</f>
        <v>7325.7050315479673</v>
      </c>
      <c r="L128" s="27">
        <f>MIN(L127*'Model Inputs'!$B$283,MAX(L81,0))</f>
        <v>6333.8296210990411</v>
      </c>
      <c r="M128" s="27">
        <f>MIN(M127*'Model Inputs'!$B$283,MAX(M81,0))</f>
        <v>5589.9230632623467</v>
      </c>
      <c r="N128" s="27">
        <f>MIN(N127*'Model Inputs'!$B$283,MAX(N81,0))</f>
        <v>5031.9931448848256</v>
      </c>
      <c r="O128" s="27">
        <f>MIN(O127*'Model Inputs'!$B$283,MAX(O81,0))</f>
        <v>4613.545706101685</v>
      </c>
      <c r="P128" s="27">
        <f>MIN(P127*'Model Inputs'!$B$283,MAX(P81,0))</f>
        <v>4299.7101270143294</v>
      </c>
      <c r="Q128" s="27">
        <f>MIN(Q127*'Model Inputs'!$B$283,MAX(Q81,0))</f>
        <v>4064.3334426988131</v>
      </c>
      <c r="R128" s="27">
        <f>MIN(R127*'Model Inputs'!$B$283,MAX(R81,0))</f>
        <v>3887.8009294621752</v>
      </c>
      <c r="S128" s="27">
        <f>MIN(S127*'Model Inputs'!$B$283,MAX(S81,0))</f>
        <v>3755.4015445346968</v>
      </c>
      <c r="T128" s="27">
        <f>MIN(T127*'Model Inputs'!$B$283,MAX(T81,0))</f>
        <v>3656.1020058390886</v>
      </c>
      <c r="U128" s="27">
        <f>MIN(U127*'Model Inputs'!$B$283,MAX(U81,0))</f>
        <v>3581.6273518173821</v>
      </c>
      <c r="V128" s="27">
        <f>MIN(V127*'Model Inputs'!$B$283,MAX(V81,0))</f>
        <v>3525.7713613011019</v>
      </c>
      <c r="W128" s="27">
        <f>MIN(W127*'Model Inputs'!$B$283,MAX(W81,0))</f>
        <v>3483.8793684138918</v>
      </c>
      <c r="X128" s="27">
        <f>MIN(X127*'Model Inputs'!$B$283,MAX(X81,0))</f>
        <v>3452.4603737484849</v>
      </c>
      <c r="Y128" s="27">
        <f>MIN(Y127*'Model Inputs'!$B$283,MAX(Y81,0))</f>
        <v>3428.8961277494291</v>
      </c>
      <c r="Z128" s="27">
        <f>MIN(Z127*'Model Inputs'!$B$283,MAX(Z81,0))</f>
        <v>3411.2229432501372</v>
      </c>
      <c r="AA128" s="27">
        <f>MIN(AA127*'Model Inputs'!$B$283,MAX(AA81,0))</f>
        <v>3397.9680548756687</v>
      </c>
      <c r="AB128" s="27">
        <f>MIN(AB127*'Model Inputs'!$B$283,MAX(AB81,0))</f>
        <v>3388.0268885948171</v>
      </c>
      <c r="AC128" s="27">
        <f>MIN(AC127*'Model Inputs'!$B$283,MAX(AC81,0))</f>
        <v>3380.5710138841787</v>
      </c>
      <c r="AD128" s="27">
        <f>MIN(AD127*'Model Inputs'!$B$283,MAX(AD81,0))</f>
        <v>3367.235623023575</v>
      </c>
      <c r="AE128" s="27">
        <f>MIN(AE127*'Model Inputs'!$B$283,MAX(AE81,0))</f>
        <v>3008.95516901988</v>
      </c>
      <c r="AF128" s="27">
        <f>MIN(AF127*'Model Inputs'!$B$283,MAX(AF81,0))</f>
        <v>2740.2448285171085</v>
      </c>
      <c r="AG128" s="27">
        <f>MIN(AG127*'Model Inputs'!$B$283,MAX(AG81,0))</f>
        <v>2538.71207314003</v>
      </c>
      <c r="AH128" s="27">
        <f>MIN(AH127*'Model Inputs'!$B$283,MAX(AH81,0))</f>
        <v>2387.5625066072212</v>
      </c>
      <c r="AI128" s="27">
        <f>MIN(AI127*'Model Inputs'!$B$283,MAX(AI81,0))</f>
        <v>2274.2003317076146</v>
      </c>
      <c r="AJ128" s="27">
        <f>MIN(AJ127*'Model Inputs'!$B$283,MAX(AJ81,0))</f>
        <v>2189.1787005329097</v>
      </c>
      <c r="AK128" s="27">
        <f>MIN(AK127*'Model Inputs'!$B$283,MAX(AK81,0))</f>
        <v>2125.4124771518809</v>
      </c>
      <c r="AL128" s="27">
        <f>MIN(AL127*'Model Inputs'!$B$283,MAX(AL81,0))</f>
        <v>2077.5878096161091</v>
      </c>
      <c r="AM128" s="27">
        <f>MIN(AM127*'Model Inputs'!$B$283,MAX(AM81,0))</f>
        <v>1948.9737180485645</v>
      </c>
      <c r="AN128" s="27">
        <f>MIN(AN127*'Model Inputs'!$B$283,MAX(AN81,0))</f>
        <v>1612.2964921478097</v>
      </c>
      <c r="AO128" s="27">
        <f>MIN(AO127*'Model Inputs'!$B$283,MAX(AO81,0))</f>
        <v>1359.7885727222435</v>
      </c>
      <c r="AP128" s="27">
        <f>MIN(AP127*'Model Inputs'!$B$283,MAX(AP81,0))</f>
        <v>1170.4076331530689</v>
      </c>
      <c r="AQ128" s="27">
        <f>MIN(AQ127*'Model Inputs'!$B$283,MAX(AQ81,0))</f>
        <v>1028.371928476188</v>
      </c>
      <c r="AR128" s="27">
        <f>MIN(AR127*'Model Inputs'!$B$283,MAX(AR81,0))</f>
        <v>921.84514996852715</v>
      </c>
      <c r="AS128" s="27">
        <f>MIN(AS127*'Model Inputs'!$B$283,MAX(AS81,0))</f>
        <v>841.95006608778158</v>
      </c>
      <c r="AT128" s="27">
        <f>MIN(AT127*'Model Inputs'!$B$283,MAX(AT81,0))</f>
        <v>782.02875317722237</v>
      </c>
      <c r="AU128" s="27">
        <f>MIN(AU127*'Model Inputs'!$B$283,MAX(AU81,0))</f>
        <v>737.08776849430296</v>
      </c>
      <c r="AV128" s="27">
        <f>MIN(AV127*'Model Inputs'!$B$283,MAX(AV81,0))</f>
        <v>703.38202998211341</v>
      </c>
      <c r="AW128" s="27">
        <f>MIN(AW127*'Model Inputs'!$B$283,MAX(AW81,0))</f>
        <v>678.10272609797119</v>
      </c>
      <c r="AX128" s="27">
        <f>MIN(AX127*'Model Inputs'!$B$283,MAX(AX81,0))</f>
        <v>659.14324818486455</v>
      </c>
      <c r="AY128" s="27">
        <f>MIN(AY127*'Model Inputs'!$B$283,MAX(AY81,0))</f>
        <v>639.19271531141749</v>
      </c>
      <c r="AZ128" s="27">
        <f>MIN(AZ127*'Model Inputs'!$B$283,MAX(AZ81,0))</f>
        <v>0</v>
      </c>
      <c r="BA128" s="27">
        <f>MIN(BA127*'Model Inputs'!$B$283,MAX(BA81,0))</f>
        <v>0</v>
      </c>
      <c r="BB128" s="27">
        <f>MIN(BB127*'Model Inputs'!$B$283,MAX(BB81,0))</f>
        <v>0</v>
      </c>
      <c r="BC128" s="27">
        <f>MIN(BC127*'Model Inputs'!$B$283,MAX(BC81,0))</f>
        <v>0</v>
      </c>
      <c r="BD128" s="27">
        <f>MIN(BD127*'Model Inputs'!$B$283,MAX(BD81,0))</f>
        <v>0</v>
      </c>
      <c r="BE128" s="27">
        <f>MIN(BE127*'Model Inputs'!$B$283,MAX(BE81,0))</f>
        <v>0</v>
      </c>
      <c r="BF128" s="27">
        <f>MIN(BF127*'Model Inputs'!$B$283,MAX(BF81,0))</f>
        <v>0</v>
      </c>
      <c r="BG128" s="27">
        <f>MIN(BG127*'Model Inputs'!$B$283,MAX(BG81,0))</f>
        <v>0</v>
      </c>
      <c r="BH128" s="27">
        <f>MIN(BH127*'Model Inputs'!$B$283,MAX(BH81,0))</f>
        <v>0</v>
      </c>
      <c r="BI128" s="27">
        <f>MIN(BI127*'Model Inputs'!$B$283,MAX(BI81,0))</f>
        <v>0</v>
      </c>
      <c r="BJ128" s="27">
        <f>MIN(BJ127*'Model Inputs'!$B$283,MAX(BJ81,0))</f>
        <v>0</v>
      </c>
      <c r="BK128" s="27">
        <f>MIN(BK127*'Model Inputs'!$B$283,MAX(BK81,0))</f>
        <v>0</v>
      </c>
      <c r="BL128" s="27">
        <f>MIN(BL127*'Model Inputs'!$B$283,MAX(BL81,0))</f>
        <v>0</v>
      </c>
      <c r="BM128" s="27">
        <f>MIN(BM127*'Model Inputs'!$B$283,MAX(BM81,0))</f>
        <v>0</v>
      </c>
      <c r="BN128" s="27">
        <f>MIN(BN127*'Model Inputs'!$B$283,MAX(BN81,0))</f>
        <v>0</v>
      </c>
      <c r="BO128" s="27">
        <f>MIN(BO127*'Model Inputs'!$B$283,MAX(BO81,0))</f>
        <v>0</v>
      </c>
    </row>
    <row r="129" spans="1:67" x14ac:dyDescent="0.2">
      <c r="A129" s="5" t="s">
        <v>275</v>
      </c>
      <c r="C129" s="27">
        <f t="shared" ref="C129:AH129" si="67">C127-C128</f>
        <v>72308.078390053546</v>
      </c>
      <c r="D129" s="27">
        <f t="shared" si="67"/>
        <v>65636.739081532884</v>
      </c>
      <c r="E129" s="27">
        <f t="shared" si="67"/>
        <v>59133.110348795199</v>
      </c>
      <c r="F129" s="27">
        <f t="shared" si="67"/>
        <v>54107.589270767756</v>
      </c>
      <c r="G129" s="27">
        <f t="shared" si="67"/>
        <v>47692.403513690137</v>
      </c>
      <c r="H129" s="27">
        <f t="shared" si="67"/>
        <v>38287.955177581796</v>
      </c>
      <c r="I129" s="27">
        <f t="shared" si="67"/>
        <v>31234.618925500545</v>
      </c>
      <c r="J129" s="27">
        <f t="shared" si="67"/>
        <v>25944.616736439606</v>
      </c>
      <c r="K129" s="27">
        <f t="shared" si="67"/>
        <v>21977.115094643901</v>
      </c>
      <c r="L129" s="27">
        <f t="shared" si="67"/>
        <v>19001.488863297123</v>
      </c>
      <c r="M129" s="27">
        <f t="shared" si="67"/>
        <v>16769.769189787039</v>
      </c>
      <c r="N129" s="27">
        <f t="shared" si="67"/>
        <v>15095.979434654477</v>
      </c>
      <c r="O129" s="27">
        <f t="shared" si="67"/>
        <v>13840.637118305054</v>
      </c>
      <c r="P129" s="27">
        <f t="shared" si="67"/>
        <v>12899.130381042989</v>
      </c>
      <c r="Q129" s="27">
        <f t="shared" si="67"/>
        <v>12193.000328096439</v>
      </c>
      <c r="R129" s="27">
        <f t="shared" si="67"/>
        <v>11663.402788386526</v>
      </c>
      <c r="S129" s="27">
        <f t="shared" si="67"/>
        <v>11266.204633604091</v>
      </c>
      <c r="T129" s="27">
        <f t="shared" si="67"/>
        <v>10968.306017517265</v>
      </c>
      <c r="U129" s="27">
        <f t="shared" si="67"/>
        <v>10744.882055452146</v>
      </c>
      <c r="V129" s="27">
        <f t="shared" si="67"/>
        <v>10577.314083903306</v>
      </c>
      <c r="W129" s="27">
        <f t="shared" si="67"/>
        <v>10451.638105241676</v>
      </c>
      <c r="X129" s="27">
        <f t="shared" si="67"/>
        <v>10357.381121245455</v>
      </c>
      <c r="Y129" s="27">
        <f t="shared" si="67"/>
        <v>10286.688383248287</v>
      </c>
      <c r="Z129" s="27">
        <f t="shared" si="67"/>
        <v>10233.668829750412</v>
      </c>
      <c r="AA129" s="27">
        <f t="shared" si="67"/>
        <v>10193.904164627005</v>
      </c>
      <c r="AB129" s="27">
        <f t="shared" si="67"/>
        <v>10164.080665784451</v>
      </c>
      <c r="AC129" s="27">
        <f t="shared" si="67"/>
        <v>10141.713041652536</v>
      </c>
      <c r="AD129" s="27">
        <f t="shared" si="67"/>
        <v>10101.706869070726</v>
      </c>
      <c r="AE129" s="27">
        <f t="shared" si="67"/>
        <v>9026.8655070596396</v>
      </c>
      <c r="AF129" s="27">
        <f t="shared" si="67"/>
        <v>8220.7344855513256</v>
      </c>
      <c r="AG129" s="27">
        <f t="shared" si="67"/>
        <v>7616.1362194200901</v>
      </c>
      <c r="AH129" s="27">
        <f t="shared" si="67"/>
        <v>7162.687519821664</v>
      </c>
      <c r="AI129" s="27">
        <f t="shared" ref="AI129:BN129" si="68">AI127-AI128</f>
        <v>6822.6009951228443</v>
      </c>
      <c r="AJ129" s="27">
        <f t="shared" si="68"/>
        <v>6567.5361015987291</v>
      </c>
      <c r="AK129" s="27">
        <f t="shared" si="68"/>
        <v>6376.2374314556428</v>
      </c>
      <c r="AL129" s="27">
        <f t="shared" si="68"/>
        <v>6232.7634288483277</v>
      </c>
      <c r="AM129" s="27">
        <f t="shared" si="68"/>
        <v>5846.9211541456934</v>
      </c>
      <c r="AN129" s="27">
        <f t="shared" si="68"/>
        <v>4836.889476443429</v>
      </c>
      <c r="AO129" s="27">
        <f t="shared" si="68"/>
        <v>4079.3657181667304</v>
      </c>
      <c r="AP129" s="27">
        <f t="shared" si="68"/>
        <v>3511.2228994592069</v>
      </c>
      <c r="AQ129" s="27">
        <f t="shared" si="68"/>
        <v>3085.1157854285639</v>
      </c>
      <c r="AR129" s="27">
        <f t="shared" si="68"/>
        <v>2765.5354499055816</v>
      </c>
      <c r="AS129" s="27">
        <f t="shared" si="68"/>
        <v>2525.8501982633447</v>
      </c>
      <c r="AT129" s="27">
        <f t="shared" si="68"/>
        <v>2346.0862595316671</v>
      </c>
      <c r="AU129" s="27">
        <f t="shared" si="68"/>
        <v>2211.2633054829089</v>
      </c>
      <c r="AV129" s="27">
        <f t="shared" si="68"/>
        <v>2110.14608994634</v>
      </c>
      <c r="AW129" s="27">
        <f t="shared" si="68"/>
        <v>2034.3081782939134</v>
      </c>
      <c r="AX129" s="27">
        <f t="shared" si="68"/>
        <v>1977.4297445545935</v>
      </c>
      <c r="AY129" s="27">
        <f t="shared" si="68"/>
        <v>1917.5781459342525</v>
      </c>
      <c r="AZ129" s="27">
        <f t="shared" si="68"/>
        <v>1917.5781459342525</v>
      </c>
      <c r="BA129" s="27">
        <f t="shared" si="68"/>
        <v>1917.5781459342525</v>
      </c>
      <c r="BB129" s="27">
        <f t="shared" si="68"/>
        <v>1917.5781459342525</v>
      </c>
      <c r="BC129" s="27">
        <f t="shared" si="68"/>
        <v>1917.5781459342525</v>
      </c>
      <c r="BD129" s="27">
        <f t="shared" si="68"/>
        <v>1917.5781459342525</v>
      </c>
      <c r="BE129" s="27">
        <f t="shared" si="68"/>
        <v>1917.5781459342525</v>
      </c>
      <c r="BF129" s="27">
        <f t="shared" si="68"/>
        <v>1917.5781459342525</v>
      </c>
      <c r="BG129" s="27">
        <f t="shared" si="68"/>
        <v>1917.5781459342525</v>
      </c>
      <c r="BH129" s="27">
        <f t="shared" si="68"/>
        <v>1917.5781459342525</v>
      </c>
      <c r="BI129" s="27">
        <f t="shared" si="68"/>
        <v>1917.5781459342525</v>
      </c>
      <c r="BJ129" s="27">
        <f t="shared" si="68"/>
        <v>1917.5781459342525</v>
      </c>
      <c r="BK129" s="27">
        <f t="shared" si="68"/>
        <v>1917.5781459342525</v>
      </c>
      <c r="BL129" s="27">
        <f t="shared" si="68"/>
        <v>1917.5781459342525</v>
      </c>
      <c r="BM129" s="27">
        <f t="shared" si="68"/>
        <v>1917.5781459342525</v>
      </c>
      <c r="BN129" s="27">
        <f t="shared" si="68"/>
        <v>1917.5781459342525</v>
      </c>
      <c r="BO129" s="27">
        <f t="shared" ref="BO129" si="69">BO127-BO128</f>
        <v>1917.5781459342525</v>
      </c>
    </row>
    <row r="130" spans="1:67" x14ac:dyDescent="0.2">
      <c r="A130" s="5" t="s">
        <v>276</v>
      </c>
      <c r="C130" s="27">
        <f t="shared" ref="C130:AH130" si="70">MAX(0,C81-C128)</f>
        <v>0</v>
      </c>
      <c r="D130" s="27">
        <f t="shared" si="70"/>
        <v>0</v>
      </c>
      <c r="E130" s="27">
        <f t="shared" si="70"/>
        <v>0</v>
      </c>
      <c r="F130" s="27">
        <f t="shared" si="70"/>
        <v>0</v>
      </c>
      <c r="G130" s="27">
        <f t="shared" si="70"/>
        <v>0</v>
      </c>
      <c r="H130" s="27">
        <f t="shared" si="70"/>
        <v>2239.7637073788992</v>
      </c>
      <c r="I130" s="27">
        <f t="shared" si="70"/>
        <v>5004.4175186383818</v>
      </c>
      <c r="J130" s="27">
        <f t="shared" si="70"/>
        <v>7189.5641434357585</v>
      </c>
      <c r="K130" s="27">
        <f t="shared" si="70"/>
        <v>8942.3135037135908</v>
      </c>
      <c r="L130" s="27">
        <f t="shared" si="70"/>
        <v>10373.042703435382</v>
      </c>
      <c r="M130" s="27">
        <f t="shared" si="70"/>
        <v>11564.580126330373</v>
      </c>
      <c r="N130" s="27">
        <f t="shared" si="70"/>
        <v>12579.093527067373</v>
      </c>
      <c r="O130" s="27">
        <f t="shared" si="70"/>
        <v>13463.256117857181</v>
      </c>
      <c r="P130" s="27">
        <f t="shared" si="70"/>
        <v>14252.121151991341</v>
      </c>
      <c r="Q130" s="27">
        <f t="shared" si="70"/>
        <v>14790.960042596131</v>
      </c>
      <c r="R130" s="27">
        <f t="shared" si="70"/>
        <v>15461.713200863453</v>
      </c>
      <c r="S130" s="27">
        <f t="shared" si="70"/>
        <v>16098.217643722237</v>
      </c>
      <c r="T130" s="27">
        <f t="shared" si="70"/>
        <v>16711.704341507771</v>
      </c>
      <c r="U130" s="27">
        <f t="shared" si="70"/>
        <v>17310.649897801195</v>
      </c>
      <c r="V130" s="27">
        <f t="shared" si="70"/>
        <v>17728.039540789956</v>
      </c>
      <c r="W130" s="27">
        <f t="shared" si="70"/>
        <v>18315.591060400675</v>
      </c>
      <c r="X130" s="27">
        <f t="shared" si="70"/>
        <v>18903.582772324051</v>
      </c>
      <c r="Y130" s="27">
        <f t="shared" si="70"/>
        <v>19494.851189926245</v>
      </c>
      <c r="Z130" s="27">
        <f t="shared" si="70"/>
        <v>20091.58262946074</v>
      </c>
      <c r="AA130" s="27">
        <f t="shared" si="70"/>
        <v>20695.4769379711</v>
      </c>
      <c r="AB130" s="27">
        <f t="shared" si="70"/>
        <v>21288.67739821893</v>
      </c>
      <c r="AC130" s="27">
        <f t="shared" si="70"/>
        <v>21910.63452563895</v>
      </c>
      <c r="AD130" s="27">
        <f t="shared" si="70"/>
        <v>22489.620900387108</v>
      </c>
      <c r="AE130" s="27">
        <f t="shared" si="70"/>
        <v>21109.389572370743</v>
      </c>
      <c r="AF130" s="27">
        <f t="shared" si="70"/>
        <v>21946.362031764926</v>
      </c>
      <c r="AG130" s="27">
        <f t="shared" si="70"/>
        <v>22727.522148411255</v>
      </c>
      <c r="AH130" s="27">
        <f t="shared" si="70"/>
        <v>23469.891623438696</v>
      </c>
      <c r="AI130" s="27">
        <f t="shared" ref="AI130:BO130" si="71">MAX(0,AI81-AI128)</f>
        <v>24186.298105002821</v>
      </c>
      <c r="AJ130" s="27">
        <f t="shared" si="71"/>
        <v>24886.42492897535</v>
      </c>
      <c r="AK130" s="27">
        <f t="shared" si="71"/>
        <v>25577.598449010147</v>
      </c>
      <c r="AL130" s="27">
        <f t="shared" si="71"/>
        <v>26265.378559132761</v>
      </c>
      <c r="AM130" s="27">
        <f t="shared" si="71"/>
        <v>20698.633166135191</v>
      </c>
      <c r="AN130" s="27">
        <f t="shared" si="71"/>
        <v>5128.8836960449426</v>
      </c>
      <c r="AO130" s="27">
        <f t="shared" si="71"/>
        <v>5550.3735281234385</v>
      </c>
      <c r="AP130" s="27">
        <f t="shared" si="71"/>
        <v>5912.1160185986018</v>
      </c>
      <c r="AQ130" s="27">
        <f t="shared" si="71"/>
        <v>6229.9605051995914</v>
      </c>
      <c r="AR130" s="27">
        <f t="shared" si="71"/>
        <v>6515.8122412698449</v>
      </c>
      <c r="AS130" s="27">
        <f t="shared" si="71"/>
        <v>6778.6187818644357</v>
      </c>
      <c r="AT130" s="27">
        <f t="shared" si="71"/>
        <v>7025.1097806231155</v>
      </c>
      <c r="AU130" s="27">
        <f t="shared" si="71"/>
        <v>7260.3518448711147</v>
      </c>
      <c r="AV130" s="27">
        <f t="shared" si="71"/>
        <v>7488.1646845396863</v>
      </c>
      <c r="AW130" s="27">
        <f t="shared" si="71"/>
        <v>7711.4332316033406</v>
      </c>
      <c r="AX130" s="27">
        <f t="shared" si="71"/>
        <v>7932.3417375595491</v>
      </c>
      <c r="AY130" s="27">
        <f t="shared" si="71"/>
        <v>7818.1870748881865</v>
      </c>
      <c r="AZ130" s="27">
        <f t="shared" si="71"/>
        <v>0</v>
      </c>
      <c r="BA130" s="27">
        <f t="shared" si="71"/>
        <v>0</v>
      </c>
      <c r="BB130" s="27">
        <f t="shared" si="71"/>
        <v>0</v>
      </c>
      <c r="BC130" s="27">
        <f t="shared" si="71"/>
        <v>0</v>
      </c>
      <c r="BD130" s="27">
        <f t="shared" si="71"/>
        <v>0</v>
      </c>
      <c r="BE130" s="27">
        <f t="shared" si="71"/>
        <v>0</v>
      </c>
      <c r="BF130" s="27">
        <f t="shared" si="71"/>
        <v>0</v>
      </c>
      <c r="BG130" s="27">
        <f t="shared" si="71"/>
        <v>0</v>
      </c>
      <c r="BH130" s="27">
        <f t="shared" si="71"/>
        <v>0</v>
      </c>
      <c r="BI130" s="27">
        <f t="shared" si="71"/>
        <v>0</v>
      </c>
      <c r="BJ130" s="27">
        <f t="shared" si="71"/>
        <v>0</v>
      </c>
      <c r="BK130" s="27">
        <f t="shared" si="71"/>
        <v>0</v>
      </c>
      <c r="BL130" s="27">
        <f t="shared" si="71"/>
        <v>0</v>
      </c>
      <c r="BM130" s="27">
        <f t="shared" si="71"/>
        <v>0</v>
      </c>
      <c r="BN130" s="27">
        <f t="shared" si="71"/>
        <v>0</v>
      </c>
      <c r="BO130" s="27">
        <f t="shared" si="71"/>
        <v>0</v>
      </c>
    </row>
    <row r="131" spans="1:67" x14ac:dyDescent="0.2">
      <c r="A131" s="5" t="s">
        <v>277</v>
      </c>
      <c r="C131" s="27">
        <f>C130*'Model Inputs'!$B$284</f>
        <v>0</v>
      </c>
      <c r="D131" s="27">
        <f>D130*'Model Inputs'!$B$284</f>
        <v>0</v>
      </c>
      <c r="E131" s="27">
        <f>E130*'Model Inputs'!$B$284</f>
        <v>0</v>
      </c>
      <c r="F131" s="27">
        <f>F130*'Model Inputs'!$B$284</f>
        <v>0</v>
      </c>
      <c r="G131" s="27">
        <f>G130*'Model Inputs'!$B$284</f>
        <v>0</v>
      </c>
      <c r="H131" s="27">
        <f>H130*'Model Inputs'!$B$284</f>
        <v>515.14565269714683</v>
      </c>
      <c r="I131" s="27">
        <f>I130*'Model Inputs'!$B$284</f>
        <v>1151.0160292868279</v>
      </c>
      <c r="J131" s="27">
        <f>J130*'Model Inputs'!$B$284</f>
        <v>1653.5997529902245</v>
      </c>
      <c r="K131" s="27">
        <f>K130*'Model Inputs'!$B$284</f>
        <v>2056.7321058541261</v>
      </c>
      <c r="L131" s="27">
        <f>L130*'Model Inputs'!$B$284</f>
        <v>2385.7998217901377</v>
      </c>
      <c r="M131" s="27">
        <f>M130*'Model Inputs'!$B$284</f>
        <v>2659.853429055986</v>
      </c>
      <c r="N131" s="27">
        <f>N130*'Model Inputs'!$B$284</f>
        <v>2893.191511225496</v>
      </c>
      <c r="O131" s="27">
        <f>O130*'Model Inputs'!$B$284</f>
        <v>3096.548907107152</v>
      </c>
      <c r="P131" s="27">
        <f>P130*'Model Inputs'!$B$284</f>
        <v>3277.9878649580087</v>
      </c>
      <c r="Q131" s="27">
        <f>Q130*'Model Inputs'!$B$284</f>
        <v>3401.92080979711</v>
      </c>
      <c r="R131" s="27">
        <f>R130*'Model Inputs'!$B$284</f>
        <v>3556.1940361985944</v>
      </c>
      <c r="S131" s="27">
        <f>S130*'Model Inputs'!$B$284</f>
        <v>3702.5900580561147</v>
      </c>
      <c r="T131" s="27">
        <f>T130*'Model Inputs'!$B$284</f>
        <v>3843.6919985467875</v>
      </c>
      <c r="U131" s="27">
        <f>U130*'Model Inputs'!$B$284</f>
        <v>3981.4494764942751</v>
      </c>
      <c r="V131" s="27">
        <f>V130*'Model Inputs'!$B$284</f>
        <v>4077.44909438169</v>
      </c>
      <c r="W131" s="27">
        <f>W130*'Model Inputs'!$B$284</f>
        <v>4212.5859438921552</v>
      </c>
      <c r="X131" s="27">
        <f>X130*'Model Inputs'!$B$284</f>
        <v>4347.824037634532</v>
      </c>
      <c r="Y131" s="27">
        <f>Y130*'Model Inputs'!$B$284</f>
        <v>4483.8157736830362</v>
      </c>
      <c r="Z131" s="27">
        <f>Z130*'Model Inputs'!$B$284</f>
        <v>4621.0640047759707</v>
      </c>
      <c r="AA131" s="27">
        <f>AA130*'Model Inputs'!$B$284</f>
        <v>4759.9596957333533</v>
      </c>
      <c r="AB131" s="27">
        <f>AB130*'Model Inputs'!$B$284</f>
        <v>4896.3958015903545</v>
      </c>
      <c r="AC131" s="27">
        <f>AC130*'Model Inputs'!$B$284</f>
        <v>5039.4459408969587</v>
      </c>
      <c r="AD131" s="27">
        <f>AD130*'Model Inputs'!$B$284</f>
        <v>5172.6128070890354</v>
      </c>
      <c r="AE131" s="27">
        <f>AE130*'Model Inputs'!$B$284</f>
        <v>4855.1596016452713</v>
      </c>
      <c r="AF131" s="27">
        <f>AF130*'Model Inputs'!$B$284</f>
        <v>5047.663267305933</v>
      </c>
      <c r="AG131" s="27">
        <f>AG130*'Model Inputs'!$B$284</f>
        <v>5227.3300941345888</v>
      </c>
      <c r="AH131" s="27">
        <f>AH130*'Model Inputs'!$B$284</f>
        <v>5398.0750733908999</v>
      </c>
      <c r="AI131" s="27">
        <f>AI130*'Model Inputs'!$B$284</f>
        <v>5562.8485641506495</v>
      </c>
      <c r="AJ131" s="27">
        <f>AJ130*'Model Inputs'!$B$284</f>
        <v>5723.8777336643307</v>
      </c>
      <c r="AK131" s="27">
        <f>AK130*'Model Inputs'!$B$284</f>
        <v>5882.8476432723337</v>
      </c>
      <c r="AL131" s="27">
        <f>AL130*'Model Inputs'!$B$284</f>
        <v>6041.0370686005353</v>
      </c>
      <c r="AM131" s="27">
        <f>AM130*'Model Inputs'!$B$284</f>
        <v>4760.6856282110939</v>
      </c>
      <c r="AN131" s="27">
        <f>AN130*'Model Inputs'!$B$284</f>
        <v>1179.6432500903368</v>
      </c>
      <c r="AO131" s="27">
        <f>AO130*'Model Inputs'!$B$284</f>
        <v>1276.5859114683908</v>
      </c>
      <c r="AP131" s="27">
        <f>AP130*'Model Inputs'!$B$284</f>
        <v>1359.7866842776784</v>
      </c>
      <c r="AQ131" s="27">
        <f>AQ130*'Model Inputs'!$B$284</f>
        <v>1432.8909161959061</v>
      </c>
      <c r="AR131" s="27">
        <f>AR130*'Model Inputs'!$B$284</f>
        <v>1498.6368154920644</v>
      </c>
      <c r="AS131" s="27">
        <f>AS130*'Model Inputs'!$B$284</f>
        <v>1559.0823198288203</v>
      </c>
      <c r="AT131" s="27">
        <f>AT130*'Model Inputs'!$B$284</f>
        <v>1615.7752495433167</v>
      </c>
      <c r="AU131" s="27">
        <f>AU130*'Model Inputs'!$B$284</f>
        <v>1669.8809243203564</v>
      </c>
      <c r="AV131" s="27">
        <f>AV130*'Model Inputs'!$B$284</f>
        <v>1722.2778774441279</v>
      </c>
      <c r="AW131" s="27">
        <f>AW130*'Model Inputs'!$B$284</f>
        <v>1773.6296432687684</v>
      </c>
      <c r="AX131" s="27">
        <f>AX130*'Model Inputs'!$B$284</f>
        <v>1824.4385996386964</v>
      </c>
      <c r="AY131" s="27">
        <f>AY130*'Model Inputs'!$B$284</f>
        <v>1798.183027224283</v>
      </c>
      <c r="AZ131" s="27">
        <f>AZ130*'Model Inputs'!$B$284</f>
        <v>0</v>
      </c>
      <c r="BA131" s="27">
        <f>BA130*'Model Inputs'!$B$284</f>
        <v>0</v>
      </c>
      <c r="BB131" s="27">
        <f>BB130*'Model Inputs'!$B$284</f>
        <v>0</v>
      </c>
      <c r="BC131" s="27">
        <f>BC130*'Model Inputs'!$B$284</f>
        <v>0</v>
      </c>
      <c r="BD131" s="27">
        <f>BD130*'Model Inputs'!$B$284</f>
        <v>0</v>
      </c>
      <c r="BE131" s="27">
        <f>BE130*'Model Inputs'!$B$284</f>
        <v>0</v>
      </c>
      <c r="BF131" s="27">
        <f>BF130*'Model Inputs'!$B$284</f>
        <v>0</v>
      </c>
      <c r="BG131" s="27">
        <f>BG130*'Model Inputs'!$B$284</f>
        <v>0</v>
      </c>
      <c r="BH131" s="27">
        <f>BH130*'Model Inputs'!$B$284</f>
        <v>0</v>
      </c>
      <c r="BI131" s="27">
        <f>BI130*'Model Inputs'!$B$284</f>
        <v>0</v>
      </c>
      <c r="BJ131" s="27">
        <f>BJ130*'Model Inputs'!$B$284</f>
        <v>0</v>
      </c>
      <c r="BK131" s="27">
        <f>BK130*'Model Inputs'!$B$284</f>
        <v>0</v>
      </c>
      <c r="BL131" s="27">
        <f>BL130*'Model Inputs'!$B$284</f>
        <v>0</v>
      </c>
      <c r="BM131" s="27">
        <f>BM130*'Model Inputs'!$B$284</f>
        <v>0</v>
      </c>
      <c r="BN131" s="27">
        <f>BN130*'Model Inputs'!$B$284</f>
        <v>0</v>
      </c>
      <c r="BO131" s="27">
        <f>BO130*'Model Inputs'!$B$284</f>
        <v>0</v>
      </c>
    </row>
    <row r="132" spans="1:67" ht="30" customHeight="1" x14ac:dyDescent="0.2">
      <c r="A132" s="5" t="s">
        <v>278</v>
      </c>
      <c r="B132" s="114">
        <f>IF(SUM(C131:BO131)=0,0,'Model Inputs'!B160/SUM(C131:BO131))</f>
        <v>1.2834597297895476</v>
      </c>
      <c r="H132" s="2" t="s">
        <v>279</v>
      </c>
    </row>
  </sheetData>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8FAADC"/>
  </sheetPr>
  <dimension ref="A1:K135"/>
  <sheetViews>
    <sheetView showGridLines="0" zoomScale="115" zoomScaleNormal="134" workbookViewId="0">
      <pane xSplit="2" ySplit="3" topLeftCell="C11" activePane="bottomRight" state="frozen"/>
      <selection pane="topRight"/>
      <selection pane="bottomLeft" activeCell="A4" sqref="A4"/>
      <selection pane="bottomRight" activeCell="F21" sqref="F21"/>
    </sheetView>
  </sheetViews>
  <sheetFormatPr baseColWidth="10" defaultColWidth="8.5" defaultRowHeight="16" x14ac:dyDescent="0.2"/>
  <cols>
    <col min="1" max="1" width="54" customWidth="1"/>
    <col min="2" max="2" width="13" customWidth="1"/>
    <col min="3" max="15" width="11" customWidth="1"/>
  </cols>
  <sheetData>
    <row r="1" spans="1:11" ht="15.75" customHeight="1" x14ac:dyDescent="0.2">
      <c r="A1" s="36" t="s">
        <v>289</v>
      </c>
      <c r="B1" s="13"/>
      <c r="C1" s="13"/>
      <c r="D1" s="13"/>
      <c r="E1" s="13"/>
      <c r="F1" s="13"/>
      <c r="G1" s="13"/>
      <c r="H1" s="13"/>
      <c r="I1" s="13"/>
      <c r="J1" s="13"/>
      <c r="K1" s="13"/>
    </row>
    <row r="2" spans="1:11" ht="15" customHeight="1" x14ac:dyDescent="0.2">
      <c r="A2" s="1" t="s">
        <v>290</v>
      </c>
    </row>
    <row r="3" spans="1:11" ht="15.75" customHeight="1" x14ac:dyDescent="0.2">
      <c r="A3" s="4" t="s">
        <v>291</v>
      </c>
      <c r="B3" s="18"/>
      <c r="C3" s="18"/>
      <c r="D3" s="13"/>
      <c r="E3" s="13"/>
      <c r="F3" s="13"/>
      <c r="G3" s="13"/>
      <c r="H3" s="13"/>
      <c r="I3" s="13"/>
      <c r="J3" s="13"/>
      <c r="K3" s="13"/>
    </row>
    <row r="4" spans="1:11" ht="15" customHeight="1" x14ac:dyDescent="0.2">
      <c r="A4" s="14" t="s">
        <v>292</v>
      </c>
      <c r="B4" s="37">
        <v>73.37</v>
      </c>
    </row>
    <row r="5" spans="1:11" ht="15" customHeight="1" x14ac:dyDescent="0.2">
      <c r="A5" s="14" t="s">
        <v>293</v>
      </c>
      <c r="B5" s="38">
        <f>B4/'Model Inputs'!$F$198</f>
        <v>1</v>
      </c>
    </row>
    <row r="6" spans="1:11" ht="15" customHeight="1" x14ac:dyDescent="0.2">
      <c r="A6" s="14" t="s">
        <v>294</v>
      </c>
      <c r="B6" s="37">
        <v>0</v>
      </c>
    </row>
    <row r="7" spans="1:11" ht="15" customHeight="1" x14ac:dyDescent="0.2">
      <c r="A7" s="14" t="s">
        <v>747</v>
      </c>
      <c r="B7" s="39">
        <f>IF(Cover!$D$17=2,0.085,0.1)</f>
        <v>0.1</v>
      </c>
    </row>
    <row r="8" spans="1:11" ht="15" customHeight="1" x14ac:dyDescent="0.2">
      <c r="A8" s="14" t="s">
        <v>295</v>
      </c>
      <c r="B8" s="37">
        <v>1</v>
      </c>
    </row>
    <row r="9" spans="1:11" ht="15" customHeight="1" x14ac:dyDescent="0.2">
      <c r="A9" s="14" t="s">
        <v>296</v>
      </c>
      <c r="B9" s="40">
        <v>1</v>
      </c>
    </row>
    <row r="10" spans="1:11" ht="15" customHeight="1" x14ac:dyDescent="0.2">
      <c r="A10" s="14" t="s">
        <v>297</v>
      </c>
      <c r="B10" s="37">
        <v>1</v>
      </c>
    </row>
    <row r="11" spans="1:11" ht="15" customHeight="1" x14ac:dyDescent="0.2">
      <c r="A11" s="14" t="s">
        <v>298</v>
      </c>
      <c r="B11" s="37">
        <v>1</v>
      </c>
    </row>
    <row r="12" spans="1:11" ht="15" customHeight="1" x14ac:dyDescent="0.2">
      <c r="A12" s="14" t="s">
        <v>299</v>
      </c>
      <c r="B12" s="41">
        <v>1.3513513514</v>
      </c>
    </row>
    <row r="13" spans="1:11" ht="15" customHeight="1" x14ac:dyDescent="0.2">
      <c r="A13" s="14" t="s">
        <v>300</v>
      </c>
      <c r="B13" s="40">
        <v>1</v>
      </c>
    </row>
    <row r="14" spans="1:11" ht="15" customHeight="1" x14ac:dyDescent="0.2">
      <c r="A14" s="14" t="s">
        <v>301</v>
      </c>
      <c r="B14" s="41">
        <v>1.1684014233976101</v>
      </c>
    </row>
    <row r="15" spans="1:11" ht="15" customHeight="1" x14ac:dyDescent="0.2">
      <c r="A15" s="14" t="s">
        <v>302</v>
      </c>
      <c r="B15" s="41">
        <v>1.27244437504122</v>
      </c>
    </row>
    <row r="16" spans="1:11" ht="15" customHeight="1" x14ac:dyDescent="0.2">
      <c r="A16" s="14" t="s">
        <v>303</v>
      </c>
      <c r="B16" s="42">
        <f>'Model Inputs'!B91/'NAV Model 1P'!B51</f>
        <v>0.96182278923342834</v>
      </c>
    </row>
    <row r="17" spans="1:11" ht="15" customHeight="1" x14ac:dyDescent="0.2">
      <c r="A17" s="14" t="s">
        <v>304</v>
      </c>
      <c r="B17" s="42">
        <f>'Model Inputs'!B92/'NAV Model 1P'!B65</f>
        <v>1.2724443750412184</v>
      </c>
    </row>
    <row r="18" spans="1:11" ht="15.75" customHeight="1" x14ac:dyDescent="0.2">
      <c r="A18" s="14" t="s">
        <v>305</v>
      </c>
      <c r="B18" s="37">
        <v>1</v>
      </c>
    </row>
    <row r="19" spans="1:11" ht="15" customHeight="1" x14ac:dyDescent="0.2">
      <c r="A19" s="29" t="s">
        <v>306</v>
      </c>
      <c r="B19" s="43">
        <f>'NAV Model 1P'!B114</f>
        <v>39.920941023283419</v>
      </c>
    </row>
    <row r="20" spans="1:11" ht="15" customHeight="1" x14ac:dyDescent="0.2">
      <c r="A20" s="14" t="s">
        <v>307</v>
      </c>
      <c r="B20" s="37">
        <v>35.71</v>
      </c>
    </row>
    <row r="23" spans="1:11" ht="15.75" customHeight="1" x14ac:dyDescent="0.2">
      <c r="A23" s="4" t="s">
        <v>308</v>
      </c>
      <c r="B23" s="18"/>
      <c r="C23" s="18"/>
      <c r="D23" s="18"/>
      <c r="E23" s="18"/>
      <c r="F23" s="18"/>
      <c r="G23" s="18"/>
      <c r="H23" s="18"/>
      <c r="I23" s="18"/>
      <c r="J23" s="18"/>
      <c r="K23" s="18"/>
    </row>
    <row r="24" spans="1:11" ht="15" customHeight="1" x14ac:dyDescent="0.2">
      <c r="A24" s="1" t="s">
        <v>263</v>
      </c>
      <c r="B24" s="44">
        <f>'NAV Model 1P'!$B$114</f>
        <v>39.920941023283419</v>
      </c>
      <c r="C24" s="45">
        <v>-10</v>
      </c>
      <c r="D24" s="45">
        <v>-7.5</v>
      </c>
      <c r="E24" s="45">
        <v>-5</v>
      </c>
      <c r="F24" s="45">
        <v>-2.5</v>
      </c>
      <c r="G24" s="45">
        <v>0</v>
      </c>
      <c r="H24" s="45">
        <v>2.5</v>
      </c>
      <c r="I24" s="45">
        <v>5</v>
      </c>
      <c r="J24" s="45">
        <v>7.5</v>
      </c>
      <c r="K24" s="45">
        <v>10</v>
      </c>
    </row>
    <row r="25" spans="1:11" ht="15" customHeight="1" x14ac:dyDescent="0.2">
      <c r="A25" s="1" t="s">
        <v>309</v>
      </c>
      <c r="B25" s="46">
        <v>100</v>
      </c>
      <c r="C25" s="47">
        <f t="dataTable" ref="C25:K35" dt2D="1" dtr="1" r1="B6" r2="B4" ca="1"/>
        <v>75.483917546890581</v>
      </c>
      <c r="D25" s="48">
        <v>77.246989505570554</v>
      </c>
      <c r="E25" s="48">
        <v>79.01374147078775</v>
      </c>
      <c r="F25" s="48">
        <v>80.779402523882169</v>
      </c>
      <c r="G25" s="48">
        <v>82.54430896695682</v>
      </c>
      <c r="H25" s="48">
        <v>84.312639336166939</v>
      </c>
      <c r="I25" s="48">
        <v>86.084217860752787</v>
      </c>
      <c r="J25" s="48">
        <v>87.858880598703522</v>
      </c>
      <c r="K25" s="48">
        <v>89.636474458180331</v>
      </c>
    </row>
    <row r="26" spans="1:11" ht="15" customHeight="1" x14ac:dyDescent="0.2">
      <c r="A26" s="49"/>
      <c r="B26" s="46">
        <v>95</v>
      </c>
      <c r="C26" s="48">
        <v>67.362799498149954</v>
      </c>
      <c r="D26" s="48">
        <v>69.117444559942541</v>
      </c>
      <c r="E26" s="48">
        <v>70.876498624927237</v>
      </c>
      <c r="F26" s="48">
        <v>72.639698521909182</v>
      </c>
      <c r="G26" s="48">
        <v>74.401381098608695</v>
      </c>
      <c r="H26" s="48">
        <v>76.162309228422515</v>
      </c>
      <c r="I26" s="48">
        <v>77.927079295702825</v>
      </c>
      <c r="J26" s="48">
        <v>79.691703119358678</v>
      </c>
      <c r="K26" s="48">
        <v>81.454714671760641</v>
      </c>
    </row>
    <row r="27" spans="1:11" ht="15" customHeight="1" x14ac:dyDescent="0.2">
      <c r="A27" s="49"/>
      <c r="B27" s="46">
        <v>90</v>
      </c>
      <c r="C27" s="48">
        <v>59.295526158953606</v>
      </c>
      <c r="D27" s="48">
        <v>61.038928929603152</v>
      </c>
      <c r="E27" s="48">
        <v>62.78776870923793</v>
      </c>
      <c r="F27" s="48">
        <v>64.540945259399578</v>
      </c>
      <c r="G27" s="48">
        <v>66.287897823355323</v>
      </c>
      <c r="H27" s="48">
        <v>68.039790168700648</v>
      </c>
      <c r="I27" s="48">
        <v>69.796314083196862</v>
      </c>
      <c r="J27" s="48">
        <v>71.557186472947336</v>
      </c>
      <c r="K27" s="48">
        <v>73.318561916370939</v>
      </c>
    </row>
    <row r="28" spans="1:11" ht="15" customHeight="1" x14ac:dyDescent="0.2">
      <c r="A28" s="49"/>
      <c r="B28" s="46">
        <v>85</v>
      </c>
      <c r="C28" s="48">
        <v>51.337642585010535</v>
      </c>
      <c r="D28" s="48">
        <v>53.049606492550382</v>
      </c>
      <c r="E28" s="48">
        <v>54.769333603436316</v>
      </c>
      <c r="F28" s="48">
        <v>56.496253715798581</v>
      </c>
      <c r="G28" s="48">
        <v>58.229839266977159</v>
      </c>
      <c r="H28" s="48">
        <v>59.969613054434966</v>
      </c>
      <c r="I28" s="48">
        <v>61.715142366718638</v>
      </c>
      <c r="J28" s="48">
        <v>63.466033916506888</v>
      </c>
      <c r="K28" s="48">
        <v>65.213081554684862</v>
      </c>
    </row>
    <row r="29" spans="1:11" ht="15" customHeight="1" x14ac:dyDescent="0.2">
      <c r="A29" s="49"/>
      <c r="B29" s="46">
        <v>80</v>
      </c>
      <c r="C29" s="48">
        <v>43.474849700110518</v>
      </c>
      <c r="D29" s="48">
        <v>45.173251482220039</v>
      </c>
      <c r="E29" s="48">
        <v>46.868092710250778</v>
      </c>
      <c r="F29" s="48">
        <v>48.572632929886765</v>
      </c>
      <c r="G29" s="48">
        <v>50.28605766572111</v>
      </c>
      <c r="H29" s="48">
        <v>51.998641202807605</v>
      </c>
      <c r="I29" s="48">
        <v>53.713207539102761</v>
      </c>
      <c r="J29" s="48">
        <v>55.43545231159289</v>
      </c>
      <c r="K29" s="48">
        <v>57.164795647028185</v>
      </c>
    </row>
    <row r="30" spans="1:11" ht="15" customHeight="1" x14ac:dyDescent="0.2">
      <c r="A30" s="49"/>
      <c r="B30" s="46">
        <v>75</v>
      </c>
      <c r="C30" s="48">
        <v>35.743738439328943</v>
      </c>
      <c r="D30" s="48">
        <v>37.407231089752685</v>
      </c>
      <c r="E30" s="48">
        <v>39.084718169129452</v>
      </c>
      <c r="F30" s="48">
        <v>40.761400336653814</v>
      </c>
      <c r="G30" s="48">
        <v>42.444492544805001</v>
      </c>
      <c r="H30" s="48">
        <v>44.139005813592156</v>
      </c>
      <c r="I30" s="48">
        <v>45.831018031506765</v>
      </c>
      <c r="J30" s="48">
        <v>47.528807077480913</v>
      </c>
      <c r="K30" s="48">
        <v>49.236174564373613</v>
      </c>
    </row>
    <row r="31" spans="1:11" ht="15" customHeight="1" x14ac:dyDescent="0.2">
      <c r="A31" s="49"/>
      <c r="B31" s="46">
        <v>70</v>
      </c>
      <c r="C31" s="48">
        <v>28.15201116806967</v>
      </c>
      <c r="D31" s="48">
        <v>29.788764673985206</v>
      </c>
      <c r="E31" s="48">
        <v>31.435007432636841</v>
      </c>
      <c r="F31" s="48">
        <v>33.081696560230895</v>
      </c>
      <c r="G31" s="48">
        <v>34.739679221113107</v>
      </c>
      <c r="H31" s="48">
        <v>36.399615177389897</v>
      </c>
      <c r="I31" s="48">
        <v>38.066585684259685</v>
      </c>
      <c r="J31" s="48">
        <v>39.743990740440175</v>
      </c>
      <c r="K31" s="48">
        <v>41.4178409483251</v>
      </c>
    </row>
    <row r="32" spans="1:11" ht="15" customHeight="1" x14ac:dyDescent="0.2">
      <c r="A32" s="49"/>
      <c r="B32" s="46">
        <v>65</v>
      </c>
      <c r="C32" s="48">
        <v>20.691098150116197</v>
      </c>
      <c r="D32" s="48">
        <v>22.311172344261188</v>
      </c>
      <c r="E32" s="48">
        <v>23.929025299946257</v>
      </c>
      <c r="F32" s="48">
        <v>25.55136201200385</v>
      </c>
      <c r="G32" s="48">
        <v>27.18114575276423</v>
      </c>
      <c r="H32" s="48">
        <v>28.815978783419329</v>
      </c>
      <c r="I32" s="48">
        <v>30.447157779397369</v>
      </c>
      <c r="J32" s="48">
        <v>32.093817658304467</v>
      </c>
      <c r="K32" s="48">
        <v>33.738135784064248</v>
      </c>
    </row>
    <row r="33" spans="1:11" ht="15" customHeight="1" x14ac:dyDescent="0.2">
      <c r="A33" s="49"/>
      <c r="B33" s="46">
        <v>60</v>
      </c>
      <c r="C33" s="48">
        <v>13.280166370126409</v>
      </c>
      <c r="D33" s="48">
        <v>14.906277413675896</v>
      </c>
      <c r="E33" s="48">
        <v>16.521658058496474</v>
      </c>
      <c r="F33" s="48">
        <v>18.134640227600286</v>
      </c>
      <c r="G33" s="48">
        <v>19.746627406521572</v>
      </c>
      <c r="H33" s="48">
        <v>21.359307132245444</v>
      </c>
      <c r="I33" s="48">
        <v>22.974684456509902</v>
      </c>
      <c r="J33" s="48">
        <v>24.59512105435115</v>
      </c>
      <c r="K33" s="48">
        <v>26.214304455943829</v>
      </c>
    </row>
    <row r="34" spans="1:11" ht="15" customHeight="1" x14ac:dyDescent="0.2">
      <c r="A34" s="49"/>
      <c r="B34" s="46">
        <v>55</v>
      </c>
      <c r="C34" s="48">
        <v>5.7570468604147251</v>
      </c>
      <c r="D34" s="48">
        <v>7.4065401333736407</v>
      </c>
      <c r="E34" s="48">
        <v>9.0555220929853775</v>
      </c>
      <c r="F34" s="48">
        <v>10.694354251649896</v>
      </c>
      <c r="G34" s="48">
        <v>12.338266323672213</v>
      </c>
      <c r="H34" s="48">
        <v>13.971772514231217</v>
      </c>
      <c r="I34" s="48">
        <v>15.587503829649213</v>
      </c>
      <c r="J34" s="48">
        <v>17.199391383159355</v>
      </c>
      <c r="K34" s="48">
        <v>18.808592168615615</v>
      </c>
    </row>
    <row r="35" spans="1:11" ht="15" customHeight="1" x14ac:dyDescent="0.2">
      <c r="A35" s="49"/>
      <c r="B35" s="46">
        <v>50</v>
      </c>
      <c r="C35" s="48">
        <v>-1.9373405849205756</v>
      </c>
      <c r="D35" s="48">
        <v>-0.22112528993084171</v>
      </c>
      <c r="E35" s="48">
        <v>1.4725557948003085</v>
      </c>
      <c r="F35" s="48">
        <v>3.1494256061912029</v>
      </c>
      <c r="G35" s="48">
        <v>4.8099491049952734</v>
      </c>
      <c r="H35" s="48">
        <v>6.462143430681186</v>
      </c>
      <c r="I35" s="48">
        <v>8.1107438974325401</v>
      </c>
      <c r="J35" s="48">
        <v>9.7507031001379563</v>
      </c>
      <c r="K35" s="48">
        <v>11.387892484825619</v>
      </c>
    </row>
    <row r="36" spans="1:11" ht="15" customHeight="1" x14ac:dyDescent="0.2">
      <c r="A36" s="1" t="s">
        <v>310</v>
      </c>
      <c r="B36" s="50">
        <f>(G29-G31)/2</f>
        <v>7.7731892223040013</v>
      </c>
    </row>
    <row r="39" spans="1:11" ht="15.75" customHeight="1" x14ac:dyDescent="0.2">
      <c r="A39" s="4" t="s">
        <v>311</v>
      </c>
      <c r="B39" s="18"/>
      <c r="C39" s="18"/>
      <c r="D39" s="18"/>
      <c r="E39" s="18"/>
      <c r="F39" s="18"/>
      <c r="G39" s="18"/>
      <c r="H39" s="13"/>
      <c r="I39" s="13"/>
      <c r="J39" s="13"/>
      <c r="K39" s="13"/>
    </row>
    <row r="40" spans="1:11" ht="15" customHeight="1" x14ac:dyDescent="0.2">
      <c r="A40" s="1" t="s">
        <v>263</v>
      </c>
      <c r="B40" s="44">
        <f>'NAV Model 1P'!$B$114</f>
        <v>39.920941023283419</v>
      </c>
      <c r="C40" s="51">
        <v>0.08</v>
      </c>
      <c r="D40" s="51">
        <v>0.09</v>
      </c>
      <c r="E40" s="51">
        <v>0.1</v>
      </c>
      <c r="F40" s="51">
        <v>0.11</v>
      </c>
      <c r="G40" s="51">
        <v>0.12</v>
      </c>
    </row>
    <row r="41" spans="1:11" ht="15" customHeight="1" x14ac:dyDescent="0.2">
      <c r="A41" s="1" t="s">
        <v>309</v>
      </c>
      <c r="B41" s="46">
        <v>100</v>
      </c>
      <c r="C41" s="47">
        <f t="dataTable" ref="C41:G51" dt2D="1" dtr="1" r1="B7" r2="B4" ca="1"/>
        <v>105.65017086541484</v>
      </c>
      <c r="D41" s="48">
        <v>93.002238228452867</v>
      </c>
      <c r="E41" s="48">
        <v>82.54430896695682</v>
      </c>
      <c r="F41" s="48">
        <v>73.810224080542923</v>
      </c>
      <c r="G41" s="48">
        <v>66.44581449643232</v>
      </c>
    </row>
    <row r="42" spans="1:11" ht="15" customHeight="1" x14ac:dyDescent="0.2">
      <c r="A42" s="49"/>
      <c r="B42" s="46">
        <v>95</v>
      </c>
      <c r="C42" s="48">
        <v>95.375423456912856</v>
      </c>
      <c r="D42" s="48">
        <v>83.893835128539877</v>
      </c>
      <c r="E42" s="48">
        <v>74.401381098608695</v>
      </c>
      <c r="F42" s="48">
        <v>66.474253190409172</v>
      </c>
      <c r="G42" s="48">
        <v>59.790551405646227</v>
      </c>
    </row>
    <row r="43" spans="1:11" ht="15" customHeight="1" x14ac:dyDescent="0.2">
      <c r="A43" s="49"/>
      <c r="B43" s="46">
        <v>90</v>
      </c>
      <c r="C43" s="48">
        <v>85.139181979886246</v>
      </c>
      <c r="D43" s="48">
        <v>74.819462704441762</v>
      </c>
      <c r="E43" s="48">
        <v>66.287897823355323</v>
      </c>
      <c r="F43" s="48">
        <v>59.163183007891135</v>
      </c>
      <c r="G43" s="48">
        <v>53.155786086340676</v>
      </c>
    </row>
    <row r="44" spans="1:11" ht="15" customHeight="1" x14ac:dyDescent="0.2">
      <c r="A44" s="49"/>
      <c r="B44" s="46">
        <v>85</v>
      </c>
      <c r="C44" s="48">
        <v>74.968437087720901</v>
      </c>
      <c r="D44" s="48">
        <v>65.805663497267687</v>
      </c>
      <c r="E44" s="48">
        <v>58.229839266977159</v>
      </c>
      <c r="F44" s="48">
        <v>51.90237596138472</v>
      </c>
      <c r="G44" s="48">
        <v>46.566246923149095</v>
      </c>
    </row>
    <row r="45" spans="1:11" ht="15" customHeight="1" x14ac:dyDescent="0.2">
      <c r="A45" s="49"/>
      <c r="B45" s="46">
        <v>80</v>
      </c>
      <c r="C45" s="48">
        <v>64.923454951655998</v>
      </c>
      <c r="D45" s="48">
        <v>56.912199626940293</v>
      </c>
      <c r="E45" s="48">
        <v>50.28605766572111</v>
      </c>
      <c r="F45" s="48">
        <v>44.749501195119379</v>
      </c>
      <c r="G45" s="48">
        <v>40.078241641949234</v>
      </c>
    </row>
    <row r="46" spans="1:11" ht="15" customHeight="1" x14ac:dyDescent="0.2">
      <c r="A46" s="49"/>
      <c r="B46" s="46">
        <v>75</v>
      </c>
      <c r="C46" s="48">
        <v>55.001599658180929</v>
      </c>
      <c r="D46" s="48">
        <v>48.131527396912041</v>
      </c>
      <c r="E46" s="48">
        <v>42.444492544805001</v>
      </c>
      <c r="F46" s="48">
        <v>37.688430377913313</v>
      </c>
      <c r="G46" s="48">
        <v>33.67204206120882</v>
      </c>
    </row>
    <row r="47" spans="1:11" ht="15" customHeight="1" x14ac:dyDescent="0.2">
      <c r="A47" s="49"/>
      <c r="B47" s="46">
        <v>70</v>
      </c>
      <c r="C47" s="48">
        <v>45.248489563310578</v>
      </c>
      <c r="D47" s="48">
        <v>39.503617990052085</v>
      </c>
      <c r="E47" s="48">
        <v>34.739679221113107</v>
      </c>
      <c r="F47" s="48">
        <v>30.748625642889603</v>
      </c>
      <c r="G47" s="48">
        <v>27.372477567622521</v>
      </c>
    </row>
    <row r="48" spans="1:11" ht="15" customHeight="1" x14ac:dyDescent="0.2">
      <c r="A48" s="49"/>
      <c r="B48" s="46">
        <v>65</v>
      </c>
      <c r="C48" s="48">
        <v>35.69270208413171</v>
      </c>
      <c r="D48" s="48">
        <v>31.046993982150163</v>
      </c>
      <c r="E48" s="48">
        <v>27.18114575276423</v>
      </c>
      <c r="F48" s="48">
        <v>23.931788973855252</v>
      </c>
      <c r="G48" s="48">
        <v>21.174596601412947</v>
      </c>
    </row>
    <row r="49" spans="1:11" ht="15" customHeight="1" x14ac:dyDescent="0.2">
      <c r="A49" s="49"/>
      <c r="B49" s="46">
        <v>60</v>
      </c>
      <c r="C49" s="48">
        <v>26.337383324116189</v>
      </c>
      <c r="D49" s="48">
        <v>22.750796280264062</v>
      </c>
      <c r="E49" s="48">
        <v>19.746627406521572</v>
      </c>
      <c r="F49" s="48">
        <v>17.206736083287431</v>
      </c>
      <c r="G49" s="48">
        <v>15.040548223028196</v>
      </c>
    </row>
    <row r="50" spans="1:11" ht="15" customHeight="1" x14ac:dyDescent="0.2">
      <c r="A50" s="49"/>
      <c r="B50" s="46">
        <v>55</v>
      </c>
      <c r="C50" s="48">
        <v>17.102546280119917</v>
      </c>
      <c r="D50" s="48">
        <v>14.523647419885583</v>
      </c>
      <c r="E50" s="48">
        <v>12.338266323672213</v>
      </c>
      <c r="F50" s="48">
        <v>10.473168574900587</v>
      </c>
      <c r="G50" s="48">
        <v>8.8707708526816376</v>
      </c>
    </row>
    <row r="51" spans="1:11" ht="15" customHeight="1" x14ac:dyDescent="0.2">
      <c r="A51" s="49"/>
      <c r="B51" s="46">
        <v>50</v>
      </c>
      <c r="C51" s="48">
        <v>7.8307112531742815</v>
      </c>
      <c r="D51" s="48">
        <v>6.2109035359428422</v>
      </c>
      <c r="E51" s="48">
        <v>4.8099491049952734</v>
      </c>
      <c r="F51" s="48">
        <v>3.5972169098055162</v>
      </c>
      <c r="G51" s="48">
        <v>2.5457525459231372</v>
      </c>
    </row>
    <row r="52" spans="1:11" ht="15" customHeight="1" x14ac:dyDescent="0.2">
      <c r="A52" s="1" t="s">
        <v>310</v>
      </c>
      <c r="B52" s="50">
        <f>(E45-E47)/2</f>
        <v>7.7731892223040013</v>
      </c>
    </row>
    <row r="55" spans="1:11" ht="15.75" customHeight="1" x14ac:dyDescent="0.2">
      <c r="A55" s="4" t="s">
        <v>312</v>
      </c>
      <c r="B55" s="18"/>
      <c r="C55" s="18"/>
      <c r="D55" s="18"/>
      <c r="E55" s="18"/>
      <c r="F55" s="18"/>
      <c r="G55" s="18"/>
      <c r="H55" s="18"/>
      <c r="I55" s="13"/>
      <c r="J55" s="13"/>
      <c r="K55" s="13"/>
    </row>
    <row r="56" spans="1:11" ht="15" customHeight="1" x14ac:dyDescent="0.2">
      <c r="A56" s="1" t="s">
        <v>263</v>
      </c>
      <c r="B56" s="44">
        <f>'NAV Model 1P'!$B$114</f>
        <v>39.920941023283419</v>
      </c>
      <c r="C56" s="52">
        <v>0.85</v>
      </c>
      <c r="D56" s="52">
        <v>0.9</v>
      </c>
      <c r="E56" s="52">
        <v>0.95</v>
      </c>
      <c r="F56" s="52">
        <v>1</v>
      </c>
      <c r="G56" s="52">
        <v>1.05</v>
      </c>
      <c r="H56" s="52">
        <v>1.1000000000000001</v>
      </c>
    </row>
    <row r="57" spans="1:11" ht="15" customHeight="1" x14ac:dyDescent="0.2">
      <c r="A57" s="1" t="s">
        <v>309</v>
      </c>
      <c r="B57" s="46">
        <v>100</v>
      </c>
      <c r="C57" s="47">
        <f t="dataTable" ref="C57:H67" dt2D="1" dtr="1" r1="B8" r2="B4" ca="1"/>
        <v>64.354580976376084</v>
      </c>
      <c r="D57" s="48">
        <v>70.394977458998966</v>
      </c>
      <c r="E57" s="48">
        <v>76.46485788929715</v>
      </c>
      <c r="F57" s="48">
        <v>82.54430896695682</v>
      </c>
      <c r="G57" s="48">
        <v>88.64486565063261</v>
      </c>
      <c r="H57" s="48">
        <v>94.767870630260731</v>
      </c>
    </row>
    <row r="58" spans="1:11" ht="15" customHeight="1" x14ac:dyDescent="0.2">
      <c r="A58" s="49"/>
      <c r="B58" s="46">
        <v>95</v>
      </c>
      <c r="C58" s="48">
        <v>57.504206312975306</v>
      </c>
      <c r="D58" s="48">
        <v>63.112951466679597</v>
      </c>
      <c r="E58" s="48">
        <v>68.743057660385858</v>
      </c>
      <c r="F58" s="48">
        <v>74.401381098608695</v>
      </c>
      <c r="G58" s="48">
        <v>80.067460651852144</v>
      </c>
      <c r="H58" s="48">
        <v>85.743853147829597</v>
      </c>
    </row>
    <row r="59" spans="1:11" ht="15" customHeight="1" x14ac:dyDescent="0.2">
      <c r="A59" s="49"/>
      <c r="B59" s="46">
        <v>90</v>
      </c>
      <c r="C59" s="48">
        <v>50.747905406111805</v>
      </c>
      <c r="D59" s="48">
        <v>55.880844885823116</v>
      </c>
      <c r="E59" s="48">
        <v>61.068072696407562</v>
      </c>
      <c r="F59" s="48">
        <v>66.287897823355323</v>
      </c>
      <c r="G59" s="48">
        <v>71.525908764301164</v>
      </c>
      <c r="H59" s="48">
        <v>76.777779120708388</v>
      </c>
    </row>
    <row r="60" spans="1:11" ht="15" customHeight="1" x14ac:dyDescent="0.2">
      <c r="A60" s="49"/>
      <c r="B60" s="46">
        <v>85</v>
      </c>
      <c r="C60" s="48">
        <v>44.060679111389746</v>
      </c>
      <c r="D60" s="48">
        <v>48.746888822041946</v>
      </c>
      <c r="E60" s="48">
        <v>53.471100960389904</v>
      </c>
      <c r="F60" s="48">
        <v>58.229839266977159</v>
      </c>
      <c r="G60" s="48">
        <v>63.032377644897153</v>
      </c>
      <c r="H60" s="48">
        <v>67.847278858189256</v>
      </c>
    </row>
    <row r="61" spans="1:11" ht="15" customHeight="1" x14ac:dyDescent="0.2">
      <c r="A61" s="49"/>
      <c r="B61" s="46">
        <v>80</v>
      </c>
      <c r="C61" s="48">
        <v>37.458286529599548</v>
      </c>
      <c r="D61" s="48">
        <v>41.699855368674257</v>
      </c>
      <c r="E61" s="48">
        <v>45.977301252044242</v>
      </c>
      <c r="F61" s="48">
        <v>50.28605766572111</v>
      </c>
      <c r="G61" s="48">
        <v>54.614653602790426</v>
      </c>
      <c r="H61" s="48">
        <v>58.980887075866733</v>
      </c>
    </row>
    <row r="62" spans="1:11" ht="15" customHeight="1" x14ac:dyDescent="0.2">
      <c r="A62" s="49"/>
      <c r="B62" s="46">
        <v>75</v>
      </c>
      <c r="C62" s="48">
        <v>30.966018826864047</v>
      </c>
      <c r="D62" s="48">
        <v>34.763067674698824</v>
      </c>
      <c r="E62" s="48">
        <v>38.589363030572251</v>
      </c>
      <c r="F62" s="48">
        <v>42.444492544805001</v>
      </c>
      <c r="G62" s="48">
        <v>46.330117468139491</v>
      </c>
      <c r="H62" s="48">
        <v>50.243242848834342</v>
      </c>
    </row>
    <row r="63" spans="1:11" ht="15" customHeight="1" x14ac:dyDescent="0.2">
      <c r="A63" s="49"/>
      <c r="B63" s="46">
        <v>70</v>
      </c>
      <c r="C63" s="48">
        <v>24.576838986338888</v>
      </c>
      <c r="D63" s="48">
        <v>27.941902387837224</v>
      </c>
      <c r="E63" s="48">
        <v>31.328495292912919</v>
      </c>
      <c r="F63" s="48">
        <v>34.739679221113107</v>
      </c>
      <c r="G63" s="48">
        <v>38.174884588024653</v>
      </c>
      <c r="H63" s="48">
        <v>41.635387733865407</v>
      </c>
    </row>
    <row r="64" spans="1:11" ht="15" customHeight="1" x14ac:dyDescent="0.2">
      <c r="A64" s="49"/>
      <c r="B64" s="46">
        <v>65</v>
      </c>
      <c r="C64" s="48">
        <v>18.276527752056289</v>
      </c>
      <c r="D64" s="48">
        <v>21.229215745576273</v>
      </c>
      <c r="E64" s="48">
        <v>24.201177276364419</v>
      </c>
      <c r="F64" s="48">
        <v>27.18114575276423</v>
      </c>
      <c r="G64" s="48">
        <v>30.177022856863136</v>
      </c>
      <c r="H64" s="48">
        <v>33.194439066545122</v>
      </c>
    </row>
    <row r="65" spans="1:11" ht="15" customHeight="1" x14ac:dyDescent="0.2">
      <c r="A65" s="49"/>
      <c r="B65" s="46">
        <v>60</v>
      </c>
      <c r="C65" s="48">
        <v>11.988361554539264</v>
      </c>
      <c r="D65" s="48">
        <v>14.58453280374958</v>
      </c>
      <c r="E65" s="48">
        <v>17.166063080777445</v>
      </c>
      <c r="F65" s="48">
        <v>19.746627406521572</v>
      </c>
      <c r="G65" s="48">
        <v>22.336618791768103</v>
      </c>
      <c r="H65" s="48">
        <v>24.934139016687972</v>
      </c>
    </row>
    <row r="66" spans="1:11" ht="15" customHeight="1" x14ac:dyDescent="0.2">
      <c r="A66" s="49"/>
      <c r="B66" s="46">
        <v>55</v>
      </c>
      <c r="C66" s="48">
        <v>5.6081859770881364</v>
      </c>
      <c r="D66" s="48">
        <v>7.8532398005657544</v>
      </c>
      <c r="E66" s="48">
        <v>10.096331231104548</v>
      </c>
      <c r="F66" s="48">
        <v>12.338266323672213</v>
      </c>
      <c r="G66" s="48">
        <v>14.569786595237114</v>
      </c>
      <c r="H66" s="48">
        <v>16.790759945656731</v>
      </c>
    </row>
    <row r="67" spans="1:11" ht="15" customHeight="1" x14ac:dyDescent="0.2">
      <c r="A67" s="49"/>
      <c r="B67" s="46">
        <v>50</v>
      </c>
      <c r="C67" s="48">
        <v>-0.8792444435265292</v>
      </c>
      <c r="D67" s="48">
        <v>1.0321185635905912</v>
      </c>
      <c r="E67" s="48">
        <v>2.926456962492634</v>
      </c>
      <c r="F67" s="48">
        <v>4.8099491049952734</v>
      </c>
      <c r="G67" s="48">
        <v>6.6852727509580028</v>
      </c>
      <c r="H67" s="48">
        <v>8.560155009061079</v>
      </c>
    </row>
    <row r="68" spans="1:11" ht="15" customHeight="1" x14ac:dyDescent="0.2">
      <c r="A68" s="1" t="s">
        <v>310</v>
      </c>
      <c r="B68" s="50">
        <f>(F61-F63)/2</f>
        <v>7.7731892223040013</v>
      </c>
    </row>
    <row r="71" spans="1:11" ht="15.75" customHeight="1" x14ac:dyDescent="0.2">
      <c r="A71" s="4" t="s">
        <v>313</v>
      </c>
      <c r="B71" s="18"/>
      <c r="C71" s="18"/>
      <c r="D71" s="18"/>
      <c r="E71" s="18"/>
      <c r="F71" s="18"/>
      <c r="G71" s="18"/>
      <c r="H71" s="13"/>
      <c r="I71" s="13"/>
      <c r="J71" s="13"/>
      <c r="K71" s="13"/>
    </row>
    <row r="72" spans="1:11" ht="15" customHeight="1" x14ac:dyDescent="0.2">
      <c r="A72" s="1" t="s">
        <v>263</v>
      </c>
      <c r="B72" s="44">
        <f>'NAV Model 1P'!$B$114</f>
        <v>39.920941023283419</v>
      </c>
      <c r="C72" s="52">
        <v>0.8</v>
      </c>
      <c r="D72" s="52">
        <v>0.9</v>
      </c>
      <c r="E72" s="52">
        <v>1</v>
      </c>
      <c r="F72" s="52">
        <v>1.1000000000000001</v>
      </c>
      <c r="G72" s="52">
        <v>1.2</v>
      </c>
    </row>
    <row r="73" spans="1:11" ht="15" customHeight="1" x14ac:dyDescent="0.2">
      <c r="A73" s="1" t="s">
        <v>309</v>
      </c>
      <c r="B73" s="46">
        <v>100</v>
      </c>
      <c r="C73" s="47">
        <f t="dataTable" ref="C73:G83" dt2D="1" dtr="1" r1="B10" r2="B4" ca="1"/>
        <v>93.54074957456379</v>
      </c>
      <c r="D73" s="48">
        <v>88.030738088824108</v>
      </c>
      <c r="E73" s="48">
        <v>82.54430896695682</v>
      </c>
      <c r="F73" s="48">
        <v>77.078360427509011</v>
      </c>
      <c r="G73" s="48">
        <v>71.620982590064799</v>
      </c>
    </row>
    <row r="74" spans="1:11" ht="15" customHeight="1" x14ac:dyDescent="0.2">
      <c r="A74" s="49"/>
      <c r="B74" s="46">
        <v>95</v>
      </c>
      <c r="C74" s="48">
        <v>85.331551936433542</v>
      </c>
      <c r="D74" s="48">
        <v>79.859716129656292</v>
      </c>
      <c r="E74" s="48">
        <v>74.401381098608695</v>
      </c>
      <c r="F74" s="48">
        <v>68.9518361291547</v>
      </c>
      <c r="G74" s="48">
        <v>63.530474529479633</v>
      </c>
    </row>
    <row r="75" spans="1:11" ht="15" customHeight="1" x14ac:dyDescent="0.2">
      <c r="A75" s="49"/>
      <c r="B75" s="46">
        <v>90</v>
      </c>
      <c r="C75" s="48">
        <v>77.173898684985531</v>
      </c>
      <c r="D75" s="48">
        <v>71.723177333127708</v>
      </c>
      <c r="E75" s="48">
        <v>66.287897823355323</v>
      </c>
      <c r="F75" s="48">
        <v>60.876392862671992</v>
      </c>
      <c r="G75" s="48">
        <v>55.508137732264998</v>
      </c>
    </row>
    <row r="76" spans="1:11" ht="15" customHeight="1" x14ac:dyDescent="0.2">
      <c r="A76" s="49"/>
      <c r="B76" s="46">
        <v>85</v>
      </c>
      <c r="C76" s="48">
        <v>69.043290364844381</v>
      </c>
      <c r="D76" s="48">
        <v>63.629022681163278</v>
      </c>
      <c r="E76" s="48">
        <v>58.229839266977159</v>
      </c>
      <c r="F76" s="48">
        <v>52.893471076087856</v>
      </c>
      <c r="G76" s="48">
        <v>47.597513266187562</v>
      </c>
    </row>
    <row r="77" spans="1:11" ht="15" customHeight="1" x14ac:dyDescent="0.2">
      <c r="A77" s="49"/>
      <c r="B77" s="46">
        <v>80</v>
      </c>
      <c r="C77" s="48">
        <v>60.963239077793368</v>
      </c>
      <c r="D77" s="48">
        <v>55.592131041398979</v>
      </c>
      <c r="E77" s="48">
        <v>50.28605766572111</v>
      </c>
      <c r="F77" s="48">
        <v>45.021879731266502</v>
      </c>
      <c r="G77" s="48">
        <v>39.798839341647337</v>
      </c>
    </row>
    <row r="78" spans="1:11" ht="15" customHeight="1" x14ac:dyDescent="0.2">
      <c r="A78" s="49"/>
      <c r="B78" s="46">
        <v>75</v>
      </c>
      <c r="C78" s="48">
        <v>52.964911865466064</v>
      </c>
      <c r="D78" s="48">
        <v>47.68081808535311</v>
      </c>
      <c r="E78" s="48">
        <v>42.444492544805001</v>
      </c>
      <c r="F78" s="48">
        <v>37.257399782529376</v>
      </c>
      <c r="G78" s="48">
        <v>32.123118231915406</v>
      </c>
    </row>
    <row r="79" spans="1:11" ht="15" customHeight="1" x14ac:dyDescent="0.2">
      <c r="A79" s="49"/>
      <c r="B79" s="46">
        <v>70</v>
      </c>
      <c r="C79" s="48">
        <v>45.092497134853971</v>
      </c>
      <c r="D79" s="48">
        <v>39.89021118211096</v>
      </c>
      <c r="E79" s="48">
        <v>34.739679221113107</v>
      </c>
      <c r="F79" s="48">
        <v>29.639987748634439</v>
      </c>
      <c r="G79" s="48">
        <v>24.575680707733756</v>
      </c>
    </row>
    <row r="80" spans="1:11" ht="15" customHeight="1" x14ac:dyDescent="0.2">
      <c r="A80" s="49"/>
      <c r="B80" s="46">
        <v>65</v>
      </c>
      <c r="C80" s="48">
        <v>37.344777609496873</v>
      </c>
      <c r="D80" s="48">
        <v>32.237839906173967</v>
      </c>
      <c r="E80" s="48">
        <v>27.18114575276423</v>
      </c>
      <c r="F80" s="48">
        <v>22.148363400048559</v>
      </c>
      <c r="G80" s="48">
        <v>17.099824117109137</v>
      </c>
    </row>
    <row r="81" spans="1:11" ht="15" customHeight="1" x14ac:dyDescent="0.2">
      <c r="A81" s="49"/>
      <c r="B81" s="46">
        <v>60</v>
      </c>
      <c r="C81" s="48">
        <v>29.756169694934915</v>
      </c>
      <c r="D81" s="48">
        <v>24.744136667369396</v>
      </c>
      <c r="E81" s="48">
        <v>19.746627406521572</v>
      </c>
      <c r="F81" s="48">
        <v>14.712946724380268</v>
      </c>
      <c r="G81" s="48">
        <v>9.5384233710171173</v>
      </c>
    </row>
    <row r="82" spans="1:11" ht="15" customHeight="1" x14ac:dyDescent="0.2">
      <c r="A82" s="49"/>
      <c r="B82" s="46">
        <v>55</v>
      </c>
      <c r="C82" s="48">
        <v>22.337192499719567</v>
      </c>
      <c r="D82" s="48">
        <v>17.376686749524968</v>
      </c>
      <c r="E82" s="48">
        <v>12.338266323672213</v>
      </c>
      <c r="F82" s="48">
        <v>7.1623377946856426</v>
      </c>
      <c r="G82" s="48">
        <v>1.9039550359887023</v>
      </c>
    </row>
    <row r="83" spans="1:11" ht="15" customHeight="1" x14ac:dyDescent="0.2">
      <c r="A83" s="49"/>
      <c r="B83" s="46">
        <v>50</v>
      </c>
      <c r="C83" s="48">
        <v>15.038781277065469</v>
      </c>
      <c r="D83" s="48">
        <v>9.985615308009244</v>
      </c>
      <c r="E83" s="48">
        <v>4.8099491049952734</v>
      </c>
      <c r="F83" s="48">
        <v>-0.49284603591747167</v>
      </c>
      <c r="G83" s="48">
        <v>-5.8907462403557114</v>
      </c>
    </row>
    <row r="84" spans="1:11" ht="15" customHeight="1" x14ac:dyDescent="0.2">
      <c r="A84" s="1" t="s">
        <v>310</v>
      </c>
      <c r="B84" s="50">
        <f>(E77-E79)/2</f>
        <v>7.7731892223040013</v>
      </c>
    </row>
    <row r="87" spans="1:11" ht="15.75" customHeight="1" x14ac:dyDescent="0.2">
      <c r="A87" s="4" t="s">
        <v>314</v>
      </c>
      <c r="B87" s="18"/>
      <c r="C87" s="18"/>
      <c r="D87" s="18"/>
      <c r="E87" s="18"/>
      <c r="F87" s="18"/>
      <c r="G87" s="18"/>
      <c r="H87" s="13"/>
      <c r="I87" s="13"/>
      <c r="J87" s="13"/>
      <c r="K87" s="13"/>
    </row>
    <row r="88" spans="1:11" ht="15" customHeight="1" x14ac:dyDescent="0.2">
      <c r="A88" s="1" t="s">
        <v>263</v>
      </c>
      <c r="B88" s="44">
        <f>'NAV Model 1P'!$B$114</f>
        <v>39.920941023283419</v>
      </c>
      <c r="C88" s="52">
        <v>0.8</v>
      </c>
      <c r="D88" s="52">
        <v>0.9</v>
      </c>
      <c r="E88" s="52">
        <v>1</v>
      </c>
      <c r="F88" s="52">
        <v>1.1000000000000001</v>
      </c>
      <c r="G88" s="52">
        <v>1.2</v>
      </c>
    </row>
    <row r="89" spans="1:11" ht="15" customHeight="1" x14ac:dyDescent="0.2">
      <c r="A89" s="1" t="s">
        <v>309</v>
      </c>
      <c r="B89" s="46">
        <v>100</v>
      </c>
      <c r="C89" s="47">
        <f t="dataTable" ref="C89:G99" dt2D="1" dtr="1" r1="B11" r2="B4" ca="1"/>
        <v>85.749844214173166</v>
      </c>
      <c r="D89" s="48">
        <v>84.141673977650711</v>
      </c>
      <c r="E89" s="48">
        <v>82.54430896695682</v>
      </c>
      <c r="F89" s="48">
        <v>80.951594319300398</v>
      </c>
      <c r="G89" s="48">
        <v>79.353955446520345</v>
      </c>
    </row>
    <row r="90" spans="1:11" ht="15" customHeight="1" x14ac:dyDescent="0.2">
      <c r="A90" s="49"/>
      <c r="B90" s="46">
        <v>95</v>
      </c>
      <c r="C90" s="48">
        <v>77.565492646098889</v>
      </c>
      <c r="D90" s="48">
        <v>75.986347045449548</v>
      </c>
      <c r="E90" s="48">
        <v>74.401381098608695</v>
      </c>
      <c r="F90" s="48">
        <v>72.809082689341366</v>
      </c>
      <c r="G90" s="48">
        <v>71.224446854969386</v>
      </c>
    </row>
    <row r="91" spans="1:11" ht="15" customHeight="1" x14ac:dyDescent="0.2">
      <c r="A91" s="49"/>
      <c r="B91" s="46">
        <v>90</v>
      </c>
      <c r="C91" s="48">
        <v>69.433423251474153</v>
      </c>
      <c r="D91" s="48">
        <v>67.860921241370932</v>
      </c>
      <c r="E91" s="48">
        <v>66.287897823355323</v>
      </c>
      <c r="F91" s="48">
        <v>64.712502857664006</v>
      </c>
      <c r="G91" s="48">
        <v>63.139889673655546</v>
      </c>
    </row>
    <row r="92" spans="1:11" ht="15" customHeight="1" x14ac:dyDescent="0.2">
      <c r="A92" s="49"/>
      <c r="B92" s="46">
        <v>85</v>
      </c>
      <c r="C92" s="48">
        <v>61.339961943767342</v>
      </c>
      <c r="D92" s="48">
        <v>59.787864246140906</v>
      </c>
      <c r="E92" s="48">
        <v>58.229839266977159</v>
      </c>
      <c r="F92" s="48">
        <v>56.690480687694006</v>
      </c>
      <c r="G92" s="48">
        <v>55.16586320913202</v>
      </c>
    </row>
    <row r="93" spans="1:11" ht="15" customHeight="1" x14ac:dyDescent="0.2">
      <c r="A93" s="49"/>
      <c r="B93" s="46">
        <v>80</v>
      </c>
      <c r="C93" s="48">
        <v>53.310452163867346</v>
      </c>
      <c r="D93" s="48">
        <v>51.789727630819499</v>
      </c>
      <c r="E93" s="48">
        <v>50.28605766572111</v>
      </c>
      <c r="F93" s="48">
        <v>48.778936930718203</v>
      </c>
      <c r="G93" s="48">
        <v>47.280063206282357</v>
      </c>
    </row>
    <row r="94" spans="1:11" ht="15" customHeight="1" x14ac:dyDescent="0.2">
      <c r="A94" s="49"/>
      <c r="B94" s="46">
        <v>75</v>
      </c>
      <c r="C94" s="48">
        <v>45.400193260682912</v>
      </c>
      <c r="D94" s="48">
        <v>43.91872484322591</v>
      </c>
      <c r="E94" s="48">
        <v>42.444492544805001</v>
      </c>
      <c r="F94" s="48">
        <v>40.978650276332267</v>
      </c>
      <c r="G94" s="48">
        <v>39.513155009127608</v>
      </c>
    </row>
    <row r="95" spans="1:11" ht="15" customHeight="1" x14ac:dyDescent="0.2">
      <c r="A95" s="49"/>
      <c r="B95" s="46">
        <v>70</v>
      </c>
      <c r="C95" s="48">
        <v>37.609952598721044</v>
      </c>
      <c r="D95" s="48">
        <v>36.173072157303594</v>
      </c>
      <c r="E95" s="48">
        <v>34.739679221113107</v>
      </c>
      <c r="F95" s="48">
        <v>33.305835499155378</v>
      </c>
      <c r="G95" s="48">
        <v>31.868359829317555</v>
      </c>
    </row>
    <row r="96" spans="1:11" ht="15" customHeight="1" x14ac:dyDescent="0.2">
      <c r="A96" s="49"/>
      <c r="B96" s="46">
        <v>65</v>
      </c>
      <c r="C96" s="48">
        <v>29.977688536280276</v>
      </c>
      <c r="D96" s="48">
        <v>28.580637911823949</v>
      </c>
      <c r="E96" s="48">
        <v>27.18114575276423</v>
      </c>
      <c r="F96" s="48">
        <v>25.767993546290977</v>
      </c>
      <c r="G96" s="48">
        <v>24.334273199867518</v>
      </c>
    </row>
    <row r="97" spans="1:11" ht="15" customHeight="1" x14ac:dyDescent="0.2">
      <c r="A97" s="49"/>
      <c r="B97" s="46">
        <v>60</v>
      </c>
      <c r="C97" s="48">
        <v>22.522520420452839</v>
      </c>
      <c r="D97" s="48">
        <v>21.147918203078657</v>
      </c>
      <c r="E97" s="48">
        <v>19.746627406521572</v>
      </c>
      <c r="F97" s="48">
        <v>18.319714506598412</v>
      </c>
      <c r="G97" s="48">
        <v>16.855612496548058</v>
      </c>
    </row>
    <row r="98" spans="1:11" ht="15" customHeight="1" x14ac:dyDescent="0.2">
      <c r="A98" s="49"/>
      <c r="B98" s="46">
        <v>55</v>
      </c>
      <c r="C98" s="48">
        <v>15.209842385906111</v>
      </c>
      <c r="D98" s="48">
        <v>13.804600289177461</v>
      </c>
      <c r="E98" s="48">
        <v>12.338266323672213</v>
      </c>
      <c r="F98" s="48">
        <v>10.819888207753364</v>
      </c>
      <c r="G98" s="48">
        <v>9.2728689294119668</v>
      </c>
    </row>
    <row r="99" spans="1:11" ht="15" customHeight="1" x14ac:dyDescent="0.2">
      <c r="A99" s="49"/>
      <c r="B99" s="46">
        <v>50</v>
      </c>
      <c r="C99" s="48">
        <v>7.8631343415253863</v>
      </c>
      <c r="D99" s="48">
        <v>6.3596495798849846</v>
      </c>
      <c r="E99" s="48">
        <v>4.8099491049952734</v>
      </c>
      <c r="F99" s="48">
        <v>3.2160713636532265</v>
      </c>
      <c r="G99" s="48">
        <v>1.5817722797195095</v>
      </c>
    </row>
    <row r="100" spans="1:11" ht="15" customHeight="1" x14ac:dyDescent="0.2">
      <c r="A100" s="1" t="s">
        <v>310</v>
      </c>
      <c r="B100" s="50">
        <f>(E93-E95)/2</f>
        <v>7.7731892223040013</v>
      </c>
    </row>
    <row r="103" spans="1:11" ht="15.75" customHeight="1" x14ac:dyDescent="0.2">
      <c r="A103" s="4" t="s">
        <v>315</v>
      </c>
      <c r="B103" s="18"/>
      <c r="C103" s="18"/>
      <c r="D103" s="18"/>
      <c r="E103" s="18"/>
      <c r="F103" s="18"/>
      <c r="G103" s="13"/>
      <c r="H103" s="13"/>
      <c r="I103" s="13"/>
      <c r="J103" s="13"/>
      <c r="K103" s="13"/>
    </row>
    <row r="104" spans="1:11" ht="15" customHeight="1" x14ac:dyDescent="0.2">
      <c r="A104" s="1" t="s">
        <v>263</v>
      </c>
      <c r="B104" s="44">
        <f>'NAV Model 1P'!$B$114</f>
        <v>39.920941023283419</v>
      </c>
      <c r="C104" s="53">
        <v>1.3</v>
      </c>
      <c r="D104" s="53">
        <v>1.35</v>
      </c>
      <c r="E104" s="53">
        <v>1.4</v>
      </c>
      <c r="F104" s="53">
        <v>1.45</v>
      </c>
    </row>
    <row r="105" spans="1:11" ht="15" customHeight="1" x14ac:dyDescent="0.2">
      <c r="A105" s="1" t="s">
        <v>309</v>
      </c>
      <c r="B105" s="46">
        <v>100</v>
      </c>
      <c r="C105" s="47">
        <f t="dataTable" ref="C105:F115" dt2D="1" dtr="1" r1="B12" r2="B4" ca="1"/>
        <v>76.846210295077867</v>
      </c>
      <c r="D105" s="48">
        <v>82.394149953445378</v>
      </c>
      <c r="E105" s="48">
        <v>87.964170485328793</v>
      </c>
      <c r="F105" s="48">
        <v>93.559879622730804</v>
      </c>
    </row>
    <row r="106" spans="1:11" ht="15" customHeight="1" x14ac:dyDescent="0.2">
      <c r="A106" s="49"/>
      <c r="B106" s="46">
        <v>95</v>
      </c>
      <c r="C106" s="48">
        <v>69.005963633122889</v>
      </c>
      <c r="D106" s="48">
        <v>74.259464181823375</v>
      </c>
      <c r="E106" s="48">
        <v>79.526120780215493</v>
      </c>
      <c r="F106" s="48">
        <v>84.804665805752037</v>
      </c>
    </row>
    <row r="107" spans="1:11" ht="15" customHeight="1" x14ac:dyDescent="0.2">
      <c r="A107" s="49"/>
      <c r="B107" s="46">
        <v>90</v>
      </c>
      <c r="C107" s="48">
        <v>61.213402249857609</v>
      </c>
      <c r="D107" s="48">
        <v>66.154281133379754</v>
      </c>
      <c r="E107" s="48">
        <v>71.11579737728097</v>
      </c>
      <c r="F107" s="48">
        <v>76.09998546038274</v>
      </c>
    </row>
    <row r="108" spans="1:11" ht="15" customHeight="1" x14ac:dyDescent="0.2">
      <c r="A108" s="49"/>
      <c r="B108" s="46">
        <v>85</v>
      </c>
      <c r="C108" s="48">
        <v>53.498455780172478</v>
      </c>
      <c r="D108" s="48">
        <v>58.104667154319152</v>
      </c>
      <c r="E108" s="48">
        <v>62.756411577357127</v>
      </c>
      <c r="F108" s="48">
        <v>67.429132575166605</v>
      </c>
    </row>
    <row r="109" spans="1:11" ht="15" customHeight="1" x14ac:dyDescent="0.2">
      <c r="A109" s="49"/>
      <c r="B109" s="46">
        <v>80</v>
      </c>
      <c r="C109" s="48">
        <v>45.894529969025221</v>
      </c>
      <c r="D109" s="48">
        <v>50.169683153694869</v>
      </c>
      <c r="E109" s="48">
        <v>54.473907183729168</v>
      </c>
      <c r="F109" s="48">
        <v>58.81895905417867</v>
      </c>
    </row>
    <row r="110" spans="1:11" ht="15" customHeight="1" x14ac:dyDescent="0.2">
      <c r="A110" s="49"/>
      <c r="B110" s="46">
        <v>75</v>
      </c>
      <c r="C110" s="48">
        <v>38.401147036497704</v>
      </c>
      <c r="D110" s="48">
        <v>42.337394157474648</v>
      </c>
      <c r="E110" s="48">
        <v>46.316037325608669</v>
      </c>
      <c r="F110" s="48">
        <v>50.330478129657529</v>
      </c>
    </row>
    <row r="111" spans="1:11" ht="15" customHeight="1" x14ac:dyDescent="0.2">
      <c r="A111" s="49"/>
      <c r="B111" s="46">
        <v>70</v>
      </c>
      <c r="C111" s="48">
        <v>31.040537050321817</v>
      </c>
      <c r="D111" s="48">
        <v>34.641373386319813</v>
      </c>
      <c r="E111" s="48">
        <v>38.28120426703704</v>
      </c>
      <c r="F111" s="48">
        <v>41.958654982662026</v>
      </c>
    </row>
    <row r="112" spans="1:11" ht="15" customHeight="1" x14ac:dyDescent="0.2">
      <c r="A112" s="49"/>
      <c r="B112" s="46">
        <v>65</v>
      </c>
      <c r="C112" s="48">
        <v>23.815617130561378</v>
      </c>
      <c r="D112" s="48">
        <v>27.092594357722824</v>
      </c>
      <c r="E112" s="48">
        <v>30.395994649372277</v>
      </c>
      <c r="F112" s="48">
        <v>33.737710542298842</v>
      </c>
    </row>
    <row r="113" spans="1:7" ht="15" customHeight="1" x14ac:dyDescent="0.2">
      <c r="A113" s="49"/>
      <c r="B113" s="46">
        <v>60</v>
      </c>
      <c r="C113" s="48">
        <v>16.681512902830129</v>
      </c>
      <c r="D113" s="48">
        <v>19.665960338874179</v>
      </c>
      <c r="E113" s="48">
        <v>22.66575683329458</v>
      </c>
      <c r="F113" s="48">
        <v>25.685179867753209</v>
      </c>
    </row>
    <row r="114" spans="1:7" ht="15" customHeight="1" x14ac:dyDescent="0.2">
      <c r="A114" s="49"/>
      <c r="B114" s="46">
        <v>55</v>
      </c>
      <c r="C114" s="48">
        <v>9.4810852714189267</v>
      </c>
      <c r="D114" s="48">
        <v>12.263078603241674</v>
      </c>
      <c r="E114" s="48">
        <v>15.024378385212732</v>
      </c>
      <c r="F114" s="48">
        <v>17.764672549357297</v>
      </c>
    </row>
    <row r="115" spans="1:7" ht="15" customHeight="1" x14ac:dyDescent="0.2">
      <c r="A115" s="49"/>
      <c r="B115" s="46">
        <v>50</v>
      </c>
      <c r="C115" s="48">
        <v>2.1726895352384989</v>
      </c>
      <c r="D115" s="48">
        <v>4.7404900987981495</v>
      </c>
      <c r="E115" s="48">
        <v>7.2835232422988536</v>
      </c>
      <c r="F115" s="48">
        <v>9.8185705549049178</v>
      </c>
    </row>
    <row r="116" spans="1:7" ht="15" customHeight="1" x14ac:dyDescent="0.2">
      <c r="A116" s="1" t="s">
        <v>310</v>
      </c>
      <c r="B116" s="50">
        <f>(D109-D111)/2</f>
        <v>7.764154883687528</v>
      </c>
    </row>
    <row r="119" spans="1:7" ht="42.75" customHeight="1" x14ac:dyDescent="0.2">
      <c r="A119" s="3" t="s">
        <v>316</v>
      </c>
    </row>
    <row r="122" spans="1:7" ht="15.75" customHeight="1" x14ac:dyDescent="0.2">
      <c r="A122" s="1" t="s">
        <v>317</v>
      </c>
    </row>
    <row r="123" spans="1:7" ht="15.75" customHeight="1" x14ac:dyDescent="0.2">
      <c r="A123" s="14" t="s">
        <v>157</v>
      </c>
      <c r="B123" s="38">
        <f>'NAV Model 1P'!$B$114</f>
        <v>39.920941023283419</v>
      </c>
      <c r="C123" s="54">
        <v>0.6</v>
      </c>
      <c r="D123" s="54">
        <v>0.8</v>
      </c>
      <c r="E123" s="54">
        <v>1</v>
      </c>
      <c r="F123" s="54">
        <v>1.2</v>
      </c>
      <c r="G123" s="54">
        <v>1.4</v>
      </c>
    </row>
    <row r="124" spans="1:7" ht="15.75" customHeight="1" x14ac:dyDescent="0.2">
      <c r="A124" s="14" t="s">
        <v>309</v>
      </c>
      <c r="B124" s="54">
        <v>100</v>
      </c>
      <c r="C124" s="54">
        <f t="dataTable" ref="C124:G135" dt2D="1" dtr="1" r1="B18" r2="B4"/>
        <v>78.6471527410243</v>
      </c>
      <c r="D124" s="54">
        <v>80.595941348174819</v>
      </c>
      <c r="E124" s="54">
        <v>82.54430896695682</v>
      </c>
      <c r="F124" s="54">
        <v>84.497798073264832</v>
      </c>
      <c r="G124" s="54">
        <v>86.456208762735614</v>
      </c>
    </row>
    <row r="125" spans="1:7" ht="15.75" customHeight="1" x14ac:dyDescent="0.2">
      <c r="B125" s="54">
        <v>95</v>
      </c>
      <c r="C125" s="54">
        <v>70.522022961156239</v>
      </c>
      <c r="D125" s="54">
        <v>72.461423302228027</v>
      </c>
      <c r="E125" s="54">
        <v>74.401381098608695</v>
      </c>
      <c r="F125" s="54">
        <v>76.340633255323851</v>
      </c>
      <c r="G125" s="54">
        <v>78.285696804681464</v>
      </c>
    </row>
    <row r="126" spans="1:7" ht="15.75" customHeight="1" x14ac:dyDescent="0.2">
      <c r="B126" s="54">
        <v>90</v>
      </c>
      <c r="C126" s="54">
        <v>62.446313840999814</v>
      </c>
      <c r="D126" s="54">
        <v>64.36974247210162</v>
      </c>
      <c r="E126" s="54">
        <v>66.287897823355323</v>
      </c>
      <c r="F126" s="54">
        <v>68.21120829439451</v>
      </c>
      <c r="G126" s="54">
        <v>70.141467626784674</v>
      </c>
    </row>
    <row r="127" spans="1:7" ht="15.75" customHeight="1" x14ac:dyDescent="0.2">
      <c r="B127" s="54">
        <v>85</v>
      </c>
      <c r="C127" s="54">
        <v>54.450060131394231</v>
      </c>
      <c r="D127" s="54">
        <v>56.33520383089764</v>
      </c>
      <c r="E127" s="54">
        <v>58.229839266977159</v>
      </c>
      <c r="F127" s="54">
        <v>60.133451083049003</v>
      </c>
      <c r="G127" s="54">
        <v>62.045560567885964</v>
      </c>
    </row>
    <row r="128" spans="1:7" ht="15.75" customHeight="1" x14ac:dyDescent="0.2">
      <c r="B128" s="54">
        <v>80</v>
      </c>
      <c r="C128" s="54">
        <v>46.567177253366161</v>
      </c>
      <c r="D128" s="54">
        <v>48.420512392979902</v>
      </c>
      <c r="E128" s="54">
        <v>50.28605766572111</v>
      </c>
      <c r="F128" s="54">
        <v>52.14984392053119</v>
      </c>
      <c r="G128" s="54">
        <v>54.018838946722127</v>
      </c>
    </row>
    <row r="129" spans="2:7" ht="15.75" customHeight="1" x14ac:dyDescent="0.2">
      <c r="B129" s="54">
        <v>75</v>
      </c>
      <c r="C129" s="54">
        <v>38.793066114401661</v>
      </c>
      <c r="D129" s="54">
        <v>40.619820843120273</v>
      </c>
      <c r="E129" s="54">
        <v>42.444492544805001</v>
      </c>
      <c r="F129" s="54">
        <v>44.283855465498945</v>
      </c>
      <c r="G129" s="54">
        <v>46.115141333760207</v>
      </c>
    </row>
    <row r="130" spans="2:7" ht="15.75" customHeight="1" x14ac:dyDescent="0.2">
      <c r="B130" s="54">
        <v>73.37</v>
      </c>
      <c r="C130" s="54">
        <v>36.291947589489936</v>
      </c>
      <c r="D130" s="54">
        <v>38.099844949932383</v>
      </c>
      <c r="E130" s="54">
        <v>39.920941023283419</v>
      </c>
      <c r="F130" s="54">
        <v>41.73713169770064</v>
      </c>
      <c r="G130" s="54">
        <v>43.569531636412741</v>
      </c>
    </row>
    <row r="131" spans="2:7" ht="15.75" customHeight="1" x14ac:dyDescent="0.2">
      <c r="B131" s="54">
        <v>70</v>
      </c>
      <c r="C131" s="54">
        <v>31.150557475503479</v>
      </c>
      <c r="D131" s="54">
        <v>32.945483890920045</v>
      </c>
      <c r="E131" s="54">
        <v>34.739679221113107</v>
      </c>
      <c r="F131" s="54">
        <v>36.532927467081734</v>
      </c>
      <c r="G131" s="54">
        <v>38.337811407054375</v>
      </c>
    </row>
    <row r="132" spans="2:7" ht="15.75" customHeight="1" x14ac:dyDescent="0.2">
      <c r="B132" s="54">
        <v>65</v>
      </c>
      <c r="C132" s="54">
        <v>23.627926993393135</v>
      </c>
      <c r="D132" s="54">
        <v>25.409464256446892</v>
      </c>
      <c r="E132" s="54">
        <v>27.18114575276423</v>
      </c>
      <c r="F132" s="54">
        <v>28.944074433999099</v>
      </c>
      <c r="G132" s="54">
        <v>30.706275188130324</v>
      </c>
    </row>
    <row r="133" spans="2:7" ht="15.75" customHeight="1" x14ac:dyDescent="0.2">
      <c r="B133" s="54">
        <v>60</v>
      </c>
      <c r="C133" s="54">
        <v>16.140034050033552</v>
      </c>
      <c r="D133" s="54">
        <v>17.965840997386341</v>
      </c>
      <c r="E133" s="54">
        <v>19.746627406521572</v>
      </c>
      <c r="F133" s="54">
        <v>21.504817585207572</v>
      </c>
      <c r="G133" s="54">
        <v>23.245686702885656</v>
      </c>
    </row>
    <row r="134" spans="2:7" ht="15.75" customHeight="1" x14ac:dyDescent="0.2">
      <c r="B134" s="54">
        <v>55</v>
      </c>
      <c r="C134" s="54">
        <v>8.5169366046419643</v>
      </c>
      <c r="D134" s="54">
        <v>10.441740559431704</v>
      </c>
      <c r="E134" s="54">
        <v>12.338266323672213</v>
      </c>
      <c r="F134" s="54">
        <v>14.170777203629333</v>
      </c>
      <c r="G134" s="54">
        <v>15.939300147131664</v>
      </c>
    </row>
    <row r="135" spans="2:7" ht="15.75" customHeight="1" x14ac:dyDescent="0.2">
      <c r="B135" s="54">
        <v>50</v>
      </c>
      <c r="C135" s="54">
        <v>0.8346559413999608</v>
      </c>
      <c r="D135" s="54">
        <v>2.8358563232939704</v>
      </c>
      <c r="E135" s="54">
        <v>4.8099491049952734</v>
      </c>
      <c r="F135" s="54">
        <v>6.7505895942467742</v>
      </c>
      <c r="G135" s="54">
        <v>8.6593929962855789</v>
      </c>
    </row>
  </sheetData>
  <pageMargins left="0.75" right="0.75" top="1" bottom="1" header="0.511811023622047" footer="0.511811023622047"/>
  <pageSetup paperSize="9" orientation="portrait" horizontalDpi="300" verticalDpi="300"/>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8FAADC"/>
  </sheetPr>
  <dimension ref="A1:K135"/>
  <sheetViews>
    <sheetView showGridLines="0" workbookViewId="0">
      <pane xSplit="2" ySplit="3" topLeftCell="C22" activePane="bottomRight" state="frozen"/>
      <selection pane="topRight"/>
      <selection pane="bottomLeft"/>
      <selection pane="bottomRight"/>
    </sheetView>
  </sheetViews>
  <sheetFormatPr baseColWidth="10" defaultColWidth="8.5" defaultRowHeight="16" x14ac:dyDescent="0.2"/>
  <cols>
    <col min="1" max="1" width="54" customWidth="1"/>
    <col min="2" max="2" width="13" customWidth="1"/>
    <col min="3" max="15" width="11" customWidth="1"/>
  </cols>
  <sheetData>
    <row r="1" spans="1:11" ht="15.75" customHeight="1" x14ac:dyDescent="0.2">
      <c r="A1" s="36" t="s">
        <v>318</v>
      </c>
      <c r="B1" s="13"/>
      <c r="C1" s="13"/>
      <c r="D1" s="13"/>
      <c r="E1" s="13"/>
      <c r="F1" s="13"/>
      <c r="G1" s="13"/>
      <c r="H1" s="13"/>
      <c r="I1" s="13"/>
      <c r="J1" s="13"/>
      <c r="K1" s="13"/>
    </row>
    <row r="2" spans="1:11" ht="15" customHeight="1" x14ac:dyDescent="0.2">
      <c r="A2" s="1" t="s">
        <v>319</v>
      </c>
    </row>
    <row r="3" spans="1:11" ht="15.75" customHeight="1" x14ac:dyDescent="0.2">
      <c r="A3" s="4" t="s">
        <v>291</v>
      </c>
      <c r="B3" s="18"/>
      <c r="C3" s="18"/>
      <c r="D3" s="13"/>
      <c r="E3" s="13"/>
      <c r="F3" s="13"/>
      <c r="G3" s="13"/>
      <c r="H3" s="13"/>
      <c r="I3" s="13"/>
      <c r="J3" s="13"/>
      <c r="K3" s="13"/>
    </row>
    <row r="4" spans="1:11" ht="15" customHeight="1" x14ac:dyDescent="0.2">
      <c r="A4" s="14" t="s">
        <v>292</v>
      </c>
      <c r="B4" s="37">
        <v>73.37</v>
      </c>
    </row>
    <row r="5" spans="1:11" ht="15" customHeight="1" x14ac:dyDescent="0.2">
      <c r="A5" s="14" t="s">
        <v>293</v>
      </c>
      <c r="B5" s="38">
        <f>B4/'Model Inputs'!$F$198</f>
        <v>1</v>
      </c>
    </row>
    <row r="6" spans="1:11" ht="15" customHeight="1" x14ac:dyDescent="0.2">
      <c r="A6" s="14" t="s">
        <v>294</v>
      </c>
      <c r="B6" s="37">
        <v>0</v>
      </c>
    </row>
    <row r="7" spans="1:11" ht="15" customHeight="1" x14ac:dyDescent="0.2">
      <c r="A7" s="14" t="s">
        <v>747</v>
      </c>
      <c r="B7" s="39">
        <f>IF(Cover!$D$17=2,0.085,0.1)</f>
        <v>0.1</v>
      </c>
    </row>
    <row r="8" spans="1:11" ht="15" customHeight="1" x14ac:dyDescent="0.2">
      <c r="A8" s="14" t="s">
        <v>320</v>
      </c>
      <c r="B8" s="37">
        <v>1</v>
      </c>
    </row>
    <row r="9" spans="1:11" ht="15" customHeight="1" x14ac:dyDescent="0.2">
      <c r="A9" s="14" t="s">
        <v>296</v>
      </c>
      <c r="B9" s="40">
        <v>1</v>
      </c>
    </row>
    <row r="10" spans="1:11" ht="15" customHeight="1" x14ac:dyDescent="0.2">
      <c r="A10" s="14" t="s">
        <v>297</v>
      </c>
      <c r="B10" s="37">
        <v>1</v>
      </c>
    </row>
    <row r="11" spans="1:11" ht="15" customHeight="1" x14ac:dyDescent="0.2">
      <c r="A11" s="14" t="s">
        <v>298</v>
      </c>
      <c r="B11" s="37">
        <v>1</v>
      </c>
    </row>
    <row r="12" spans="1:11" ht="15" customHeight="1" x14ac:dyDescent="0.2">
      <c r="A12" s="14" t="s">
        <v>299</v>
      </c>
      <c r="B12" s="41">
        <v>1.3513513514</v>
      </c>
    </row>
    <row r="13" spans="1:11" ht="15" customHeight="1" x14ac:dyDescent="0.2">
      <c r="A13" s="14" t="s">
        <v>300</v>
      </c>
      <c r="B13" s="40">
        <v>1</v>
      </c>
    </row>
    <row r="14" spans="1:11" ht="15" customHeight="1" x14ac:dyDescent="0.2">
      <c r="A14" s="14" t="s">
        <v>301</v>
      </c>
      <c r="B14" s="41">
        <v>1.2203975621869101</v>
      </c>
    </row>
    <row r="15" spans="1:11" ht="15" customHeight="1" x14ac:dyDescent="0.2">
      <c r="A15" s="14" t="s">
        <v>302</v>
      </c>
      <c r="B15" s="41">
        <v>1.2527528600808899</v>
      </c>
    </row>
    <row r="16" spans="1:11" ht="15" customHeight="1" x14ac:dyDescent="0.2">
      <c r="A16" s="14" t="s">
        <v>303</v>
      </c>
      <c r="B16" s="42">
        <f>'Model Inputs'!B161/'NAV Model 2P'!B51</f>
        <v>0.97416786605932171</v>
      </c>
    </row>
    <row r="17" spans="1:11" ht="15" customHeight="1" x14ac:dyDescent="0.2">
      <c r="A17" s="14" t="s">
        <v>304</v>
      </c>
      <c r="B17" s="42">
        <f>'Model Inputs'!B162/'NAV Model 2P'!B65</f>
        <v>1.2527528600808895</v>
      </c>
    </row>
    <row r="18" spans="1:11" ht="15.75" customHeight="1" x14ac:dyDescent="0.2">
      <c r="A18" s="14" t="s">
        <v>305</v>
      </c>
      <c r="B18" s="37">
        <v>1</v>
      </c>
    </row>
    <row r="19" spans="1:11" ht="15" customHeight="1" x14ac:dyDescent="0.2">
      <c r="A19" s="29" t="s">
        <v>321</v>
      </c>
      <c r="B19" s="43">
        <f>'NAV Model 2P'!B114</f>
        <v>54.945619324370654</v>
      </c>
    </row>
    <row r="20" spans="1:11" ht="15" customHeight="1" x14ac:dyDescent="0.2">
      <c r="A20" s="14" t="s">
        <v>322</v>
      </c>
      <c r="B20" s="37">
        <v>46.85</v>
      </c>
    </row>
    <row r="23" spans="1:11" ht="15.75" customHeight="1" x14ac:dyDescent="0.2">
      <c r="A23" s="4" t="s">
        <v>308</v>
      </c>
      <c r="B23" s="18"/>
      <c r="C23" s="18"/>
      <c r="D23" s="18"/>
      <c r="E23" s="18"/>
      <c r="F23" s="18"/>
      <c r="G23" s="18"/>
      <c r="H23" s="18"/>
      <c r="I23" s="18"/>
      <c r="J23" s="18"/>
      <c r="K23" s="18"/>
    </row>
    <row r="24" spans="1:11" ht="15" customHeight="1" x14ac:dyDescent="0.2">
      <c r="A24" s="1" t="s">
        <v>287</v>
      </c>
      <c r="B24" s="44">
        <f>'NAV Model 2P'!$B$114</f>
        <v>54.945619324370654</v>
      </c>
      <c r="C24" s="45">
        <v>-10</v>
      </c>
      <c r="D24" s="45">
        <v>-7.5</v>
      </c>
      <c r="E24" s="45">
        <v>-5</v>
      </c>
      <c r="F24" s="45">
        <v>-2.5</v>
      </c>
      <c r="G24" s="45">
        <v>0</v>
      </c>
      <c r="H24" s="45">
        <v>2.5</v>
      </c>
      <c r="I24" s="45">
        <v>5</v>
      </c>
      <c r="J24" s="45">
        <v>7.5</v>
      </c>
      <c r="K24" s="45">
        <v>10</v>
      </c>
    </row>
    <row r="25" spans="1:11" ht="15" customHeight="1" x14ac:dyDescent="0.2">
      <c r="A25" s="1" t="s">
        <v>309</v>
      </c>
      <c r="B25" s="46">
        <v>100</v>
      </c>
      <c r="C25" s="47">
        <f t="dataTable" ref="C25:K35" dt2D="1" dtr="1" r1="B6" r2="B4" ca="1"/>
        <v>96.808708890667162</v>
      </c>
      <c r="D25" s="48">
        <v>98.99928718209847</v>
      </c>
      <c r="E25" s="48">
        <v>101.1919529287366</v>
      </c>
      <c r="F25" s="48">
        <v>103.38656771221234</v>
      </c>
      <c r="G25" s="48">
        <v>105.58300508746815</v>
      </c>
      <c r="H25" s="48">
        <v>107.78114931553377</v>
      </c>
      <c r="I25" s="48">
        <v>109.98089425391102</v>
      </c>
      <c r="J25" s="48">
        <v>112.18214238215987</v>
      </c>
      <c r="K25" s="48">
        <v>114.38480394385051</v>
      </c>
    </row>
    <row r="26" spans="1:11" ht="15" customHeight="1" x14ac:dyDescent="0.2">
      <c r="A26" s="49"/>
      <c r="B26" s="46">
        <v>95</v>
      </c>
      <c r="C26" s="48">
        <v>87.190338500214168</v>
      </c>
      <c r="D26" s="48">
        <v>89.376165940278881</v>
      </c>
      <c r="E26" s="48">
        <v>91.557625749242817</v>
      </c>
      <c r="F26" s="48">
        <v>93.737846297126893</v>
      </c>
      <c r="G26" s="48">
        <v>95.920744826817611</v>
      </c>
      <c r="H26" s="48">
        <v>98.106135461312604</v>
      </c>
      <c r="I26" s="48">
        <v>100.29384913675125</v>
      </c>
      <c r="J26" s="48">
        <v>102.48373174345203</v>
      </c>
      <c r="K26" s="48">
        <v>104.67564250825951</v>
      </c>
    </row>
    <row r="27" spans="1:11" ht="15" customHeight="1" x14ac:dyDescent="0.2">
      <c r="A27" s="49"/>
      <c r="B27" s="46">
        <v>90</v>
      </c>
      <c r="C27" s="48">
        <v>77.64259776516414</v>
      </c>
      <c r="D27" s="48">
        <v>79.808105756594017</v>
      </c>
      <c r="E27" s="48">
        <v>81.977549908820961</v>
      </c>
      <c r="F27" s="48">
        <v>84.150612801233663</v>
      </c>
      <c r="G27" s="48">
        <v>86.327010249786781</v>
      </c>
      <c r="H27" s="48">
        <v>88.506487067792051</v>
      </c>
      <c r="I27" s="48">
        <v>90.681053037434637</v>
      </c>
      <c r="J27" s="48">
        <v>92.855549907272561</v>
      </c>
      <c r="K27" s="48">
        <v>95.032997313125648</v>
      </c>
    </row>
    <row r="28" spans="1:11" ht="15" customHeight="1" x14ac:dyDescent="0.2">
      <c r="A28" s="49"/>
      <c r="B28" s="46">
        <v>85</v>
      </c>
      <c r="C28" s="48">
        <v>68.146240181606601</v>
      </c>
      <c r="D28" s="48">
        <v>70.315883220472017</v>
      </c>
      <c r="E28" s="48">
        <v>72.481075790552325</v>
      </c>
      <c r="F28" s="48">
        <v>74.643791718827558</v>
      </c>
      <c r="G28" s="48">
        <v>76.808735227901465</v>
      </c>
      <c r="H28" s="48">
        <v>78.966317481316949</v>
      </c>
      <c r="I28" s="48">
        <v>81.128276239106725</v>
      </c>
      <c r="J28" s="48">
        <v>83.294258376130145</v>
      </c>
      <c r="K28" s="48">
        <v>85.463947762191523</v>
      </c>
    </row>
    <row r="29" spans="1:11" ht="15" customHeight="1" x14ac:dyDescent="0.2">
      <c r="A29" s="49"/>
      <c r="B29" s="46">
        <v>80</v>
      </c>
      <c r="C29" s="48">
        <v>58.730250655423511</v>
      </c>
      <c r="D29" s="48">
        <v>60.8855277124918</v>
      </c>
      <c r="E29" s="48">
        <v>63.041476417801725</v>
      </c>
      <c r="F29" s="48">
        <v>65.190009232767522</v>
      </c>
      <c r="G29" s="48">
        <v>67.344392252272115</v>
      </c>
      <c r="H29" s="48">
        <v>69.504062242598721</v>
      </c>
      <c r="I29" s="48">
        <v>71.66316274840672</v>
      </c>
      <c r="J29" s="48">
        <v>73.81698732127785</v>
      </c>
      <c r="K29" s="48">
        <v>75.97520503723203</v>
      </c>
    </row>
    <row r="30" spans="1:11" ht="15" customHeight="1" x14ac:dyDescent="0.2">
      <c r="A30" s="49"/>
      <c r="B30" s="46">
        <v>75</v>
      </c>
      <c r="C30" s="48">
        <v>49.483676063891139</v>
      </c>
      <c r="D30" s="48">
        <v>51.591656291957392</v>
      </c>
      <c r="E30" s="48">
        <v>53.708448970758262</v>
      </c>
      <c r="F30" s="48">
        <v>55.834785213908937</v>
      </c>
      <c r="G30" s="48">
        <v>57.969569737884378</v>
      </c>
      <c r="H30" s="48">
        <v>60.111868686454955</v>
      </c>
      <c r="I30" s="48">
        <v>62.260880947781146</v>
      </c>
      <c r="J30" s="48">
        <v>64.399271139254168</v>
      </c>
      <c r="K30" s="48">
        <v>66.542964477955465</v>
      </c>
    </row>
    <row r="31" spans="1:11" ht="15" customHeight="1" x14ac:dyDescent="0.2">
      <c r="A31" s="49"/>
      <c r="B31" s="46">
        <v>70</v>
      </c>
      <c r="C31" s="48">
        <v>40.421617736586143</v>
      </c>
      <c r="D31" s="48">
        <v>42.504893557332721</v>
      </c>
      <c r="E31" s="48">
        <v>44.590976115393183</v>
      </c>
      <c r="F31" s="48">
        <v>46.677227231527446</v>
      </c>
      <c r="G31" s="48">
        <v>48.777086606443461</v>
      </c>
      <c r="H31" s="48">
        <v>50.877378789839476</v>
      </c>
      <c r="I31" s="48">
        <v>52.97761157524684</v>
      </c>
      <c r="J31" s="48">
        <v>55.088714188372172</v>
      </c>
      <c r="K31" s="48">
        <v>57.209438157367181</v>
      </c>
    </row>
    <row r="32" spans="1:11" ht="15" customHeight="1" x14ac:dyDescent="0.2">
      <c r="A32" s="49"/>
      <c r="B32" s="46">
        <v>65</v>
      </c>
      <c r="C32" s="48">
        <v>31.610191174498873</v>
      </c>
      <c r="D32" s="48">
        <v>33.643329392050262</v>
      </c>
      <c r="E32" s="48">
        <v>35.686511325927384</v>
      </c>
      <c r="F32" s="48">
        <v>37.734314167721614</v>
      </c>
      <c r="G32" s="48">
        <v>39.791179776303061</v>
      </c>
      <c r="H32" s="48">
        <v>41.849117069052461</v>
      </c>
      <c r="I32" s="48">
        <v>43.924848019928184</v>
      </c>
      <c r="J32" s="48">
        <v>45.990734102623065</v>
      </c>
      <c r="K32" s="48">
        <v>48.071246608312663</v>
      </c>
    </row>
    <row r="33" spans="1:11" ht="15" customHeight="1" x14ac:dyDescent="0.2">
      <c r="A33" s="49"/>
      <c r="B33" s="46">
        <v>60</v>
      </c>
      <c r="C33" s="48">
        <v>23.081359212241015</v>
      </c>
      <c r="D33" s="48">
        <v>25.065134570000851</v>
      </c>
      <c r="E33" s="48">
        <v>27.055949918130036</v>
      </c>
      <c r="F33" s="48">
        <v>29.057636229844984</v>
      </c>
      <c r="G33" s="48">
        <v>31.058611986627852</v>
      </c>
      <c r="H33" s="48">
        <v>33.069135706377963</v>
      </c>
      <c r="I33" s="48">
        <v>35.093941215545527</v>
      </c>
      <c r="J33" s="48">
        <v>37.115802457358093</v>
      </c>
      <c r="K33" s="48">
        <v>39.157040104622936</v>
      </c>
    </row>
    <row r="34" spans="1:11" ht="15" customHeight="1" x14ac:dyDescent="0.2">
      <c r="A34" s="49"/>
      <c r="B34" s="46">
        <v>55</v>
      </c>
      <c r="C34" s="48">
        <v>14.825533997802088</v>
      </c>
      <c r="D34" s="48">
        <v>16.778722652995686</v>
      </c>
      <c r="E34" s="48">
        <v>18.731161247513025</v>
      </c>
      <c r="F34" s="48">
        <v>20.683698129284256</v>
      </c>
      <c r="G34" s="48">
        <v>22.635856647522669</v>
      </c>
      <c r="H34" s="48">
        <v>24.590818367131757</v>
      </c>
      <c r="I34" s="48">
        <v>26.550612719022769</v>
      </c>
      <c r="J34" s="48">
        <v>28.519351868324037</v>
      </c>
      <c r="K34" s="48">
        <v>30.500073267238275</v>
      </c>
    </row>
    <row r="35" spans="1:11" ht="15" customHeight="1" x14ac:dyDescent="0.2">
      <c r="A35" s="49"/>
      <c r="B35" s="46">
        <v>50</v>
      </c>
      <c r="C35" s="48">
        <v>6.3630337626507085</v>
      </c>
      <c r="D35" s="48">
        <v>8.52295514996535</v>
      </c>
      <c r="E35" s="48">
        <v>10.552740521020745</v>
      </c>
      <c r="F35" s="48">
        <v>12.520334925565395</v>
      </c>
      <c r="G35" s="48">
        <v>14.458995907304429</v>
      </c>
      <c r="H35" s="48">
        <v>16.384880937686166</v>
      </c>
      <c r="I35" s="48">
        <v>18.306919890300644</v>
      </c>
      <c r="J35" s="48">
        <v>20.233127480508529</v>
      </c>
      <c r="K35" s="48">
        <v>22.157573551286589</v>
      </c>
    </row>
    <row r="36" spans="1:11" ht="15" customHeight="1" x14ac:dyDescent="0.2">
      <c r="A36" s="1" t="s">
        <v>310</v>
      </c>
      <c r="B36" s="50">
        <f>(G29-G31)/2</f>
        <v>9.2836528229143269</v>
      </c>
    </row>
    <row r="39" spans="1:11" ht="15.75" customHeight="1" x14ac:dyDescent="0.2">
      <c r="A39" s="4" t="s">
        <v>311</v>
      </c>
      <c r="B39" s="18"/>
      <c r="C39" s="18"/>
      <c r="D39" s="18"/>
      <c r="E39" s="18"/>
      <c r="F39" s="18"/>
      <c r="G39" s="18"/>
      <c r="H39" s="13"/>
      <c r="I39" s="13"/>
      <c r="J39" s="13"/>
      <c r="K39" s="13"/>
    </row>
    <row r="40" spans="1:11" ht="15" customHeight="1" x14ac:dyDescent="0.2">
      <c r="A40" s="1" t="s">
        <v>287</v>
      </c>
      <c r="B40" s="44">
        <f>'NAV Model 2P'!$B$114</f>
        <v>54.945619324370654</v>
      </c>
      <c r="C40" s="51">
        <v>0.08</v>
      </c>
      <c r="D40" s="51">
        <v>0.09</v>
      </c>
      <c r="E40" s="51">
        <v>0.1</v>
      </c>
      <c r="F40" s="51">
        <v>0.11</v>
      </c>
      <c r="G40" s="51">
        <v>0.12</v>
      </c>
    </row>
    <row r="41" spans="1:11" ht="15" customHeight="1" x14ac:dyDescent="0.2">
      <c r="A41" s="1" t="s">
        <v>309</v>
      </c>
      <c r="B41" s="46">
        <v>100</v>
      </c>
      <c r="C41" s="47">
        <f t="dataTable" ref="C41:G51" dt2D="1" dtr="1" r1="B7" r2="B4" ca="1"/>
        <v>134.49335185077345</v>
      </c>
      <c r="D41" s="48">
        <v>118.66064759702667</v>
      </c>
      <c r="E41" s="48">
        <v>105.58300508746815</v>
      </c>
      <c r="F41" s="48">
        <v>94.669263165805575</v>
      </c>
      <c r="G41" s="48">
        <v>85.472297447486085</v>
      </c>
    </row>
    <row r="42" spans="1:11" ht="15" customHeight="1" x14ac:dyDescent="0.2">
      <c r="A42" s="49"/>
      <c r="B42" s="46">
        <v>95</v>
      </c>
      <c r="C42" s="48">
        <v>122.25117621249721</v>
      </c>
      <c r="D42" s="48">
        <v>107.83134918358553</v>
      </c>
      <c r="E42" s="48">
        <v>95.920744826817611</v>
      </c>
      <c r="F42" s="48">
        <v>85.980741636884886</v>
      </c>
      <c r="G42" s="48">
        <v>77.604002948868512</v>
      </c>
    </row>
    <row r="43" spans="1:11" ht="15" customHeight="1" x14ac:dyDescent="0.2">
      <c r="A43" s="49"/>
      <c r="B43" s="46">
        <v>90</v>
      </c>
      <c r="C43" s="48">
        <v>110.0805109941026</v>
      </c>
      <c r="D43" s="48">
        <v>97.072298161078194</v>
      </c>
      <c r="E43" s="48">
        <v>86.327010249786781</v>
      </c>
      <c r="F43" s="48">
        <v>77.358731450176393</v>
      </c>
      <c r="G43" s="48">
        <v>69.800030121429387</v>
      </c>
    </row>
    <row r="44" spans="1:11" ht="15" customHeight="1" x14ac:dyDescent="0.2">
      <c r="A44" s="49"/>
      <c r="B44" s="46">
        <v>85</v>
      </c>
      <c r="C44" s="48">
        <v>97.991548072320953</v>
      </c>
      <c r="D44" s="48">
        <v>86.39208369162094</v>
      </c>
      <c r="E44" s="48">
        <v>76.808735227901465</v>
      </c>
      <c r="F44" s="48">
        <v>68.808506672024563</v>
      </c>
      <c r="G44" s="48">
        <v>62.064020770566884</v>
      </c>
    </row>
    <row r="45" spans="1:11" ht="15" customHeight="1" x14ac:dyDescent="0.2">
      <c r="A45" s="49"/>
      <c r="B45" s="46">
        <v>80</v>
      </c>
      <c r="C45" s="48">
        <v>85.969957795829103</v>
      </c>
      <c r="D45" s="48">
        <v>75.772653871825483</v>
      </c>
      <c r="E45" s="48">
        <v>67.344392252272115</v>
      </c>
      <c r="F45" s="48">
        <v>60.305341289875379</v>
      </c>
      <c r="G45" s="48">
        <v>54.368339073711972</v>
      </c>
    </row>
    <row r="46" spans="1:11" ht="15" customHeight="1" x14ac:dyDescent="0.2">
      <c r="A46" s="49"/>
      <c r="B46" s="46">
        <v>75</v>
      </c>
      <c r="C46" s="48">
        <v>74.05467893357735</v>
      </c>
      <c r="D46" s="48">
        <v>65.25132900078242</v>
      </c>
      <c r="E46" s="48">
        <v>57.969569737884378</v>
      </c>
      <c r="F46" s="48">
        <v>51.88307722974286</v>
      </c>
      <c r="G46" s="48">
        <v>46.745128866017268</v>
      </c>
    </row>
    <row r="47" spans="1:11" ht="15" customHeight="1" x14ac:dyDescent="0.2">
      <c r="A47" s="49"/>
      <c r="B47" s="46">
        <v>70</v>
      </c>
      <c r="C47" s="48">
        <v>62.342941205511437</v>
      </c>
      <c r="D47" s="48">
        <v>54.923408002249602</v>
      </c>
      <c r="E47" s="48">
        <v>48.777086606443461</v>
      </c>
      <c r="F47" s="48">
        <v>43.631728546909677</v>
      </c>
      <c r="G47" s="48">
        <v>39.281429386153732</v>
      </c>
    </row>
    <row r="48" spans="1:11" ht="15" customHeight="1" x14ac:dyDescent="0.2">
      <c r="A48" s="49"/>
      <c r="B48" s="46">
        <v>65</v>
      </c>
      <c r="C48" s="48">
        <v>50.87689419907209</v>
      </c>
      <c r="D48" s="48">
        <v>44.821879729383312</v>
      </c>
      <c r="E48" s="48">
        <v>39.791179776303061</v>
      </c>
      <c r="F48" s="48">
        <v>35.567386911015468</v>
      </c>
      <c r="G48" s="48">
        <v>31.985894740086152</v>
      </c>
    </row>
    <row r="49" spans="1:11" ht="15" customHeight="1" x14ac:dyDescent="0.2">
      <c r="A49" s="49"/>
      <c r="B49" s="46">
        <v>60</v>
      </c>
      <c r="C49" s="48">
        <v>39.73318298909507</v>
      </c>
      <c r="D49" s="48">
        <v>35.007909614213297</v>
      </c>
      <c r="E49" s="48">
        <v>31.058611986627852</v>
      </c>
      <c r="F49" s="48">
        <v>27.723770499949751</v>
      </c>
      <c r="G49" s="48">
        <v>24.88066611293052</v>
      </c>
    </row>
    <row r="50" spans="1:11" ht="15" customHeight="1" x14ac:dyDescent="0.2">
      <c r="A50" s="49"/>
      <c r="B50" s="46">
        <v>55</v>
      </c>
      <c r="C50" s="48">
        <v>29.022926253394008</v>
      </c>
      <c r="D50" s="48">
        <v>25.563641281042063</v>
      </c>
      <c r="E50" s="48">
        <v>22.635856647522669</v>
      </c>
      <c r="F50" s="48">
        <v>20.135230035061891</v>
      </c>
      <c r="G50" s="48">
        <v>17.981460351736349</v>
      </c>
    </row>
    <row r="51" spans="1:11" ht="15" customHeight="1" x14ac:dyDescent="0.2">
      <c r="A51" s="49"/>
      <c r="B51" s="46">
        <v>50</v>
      </c>
      <c r="C51" s="48">
        <v>18.764977279344045</v>
      </c>
      <c r="D51" s="48">
        <v>16.461359296324755</v>
      </c>
      <c r="E51" s="48">
        <v>14.458995907304429</v>
      </c>
      <c r="F51" s="48">
        <v>12.711034246378635</v>
      </c>
      <c r="G51" s="48">
        <v>11.178842120038242</v>
      </c>
    </row>
    <row r="52" spans="1:11" ht="15" customHeight="1" x14ac:dyDescent="0.2">
      <c r="A52" s="1" t="s">
        <v>310</v>
      </c>
      <c r="B52" s="50">
        <f>(E45-E47)/2</f>
        <v>9.2836528229143269</v>
      </c>
    </row>
    <row r="55" spans="1:11" ht="15.75" customHeight="1" x14ac:dyDescent="0.2">
      <c r="A55" s="4" t="s">
        <v>323</v>
      </c>
      <c r="B55" s="18"/>
      <c r="C55" s="18"/>
      <c r="D55" s="18"/>
      <c r="E55" s="18"/>
      <c r="F55" s="18"/>
      <c r="G55" s="18"/>
      <c r="H55" s="18"/>
      <c r="I55" s="13"/>
      <c r="J55" s="13"/>
      <c r="K55" s="13"/>
    </row>
    <row r="56" spans="1:11" ht="15" customHeight="1" x14ac:dyDescent="0.2">
      <c r="A56" s="1" t="s">
        <v>287</v>
      </c>
      <c r="B56" s="44">
        <f>'NAV Model 2P'!$B$114</f>
        <v>54.945619324370654</v>
      </c>
      <c r="C56" s="52">
        <v>0.85</v>
      </c>
      <c r="D56" s="52">
        <v>0.9</v>
      </c>
      <c r="E56" s="52">
        <v>0.95</v>
      </c>
      <c r="F56" s="52">
        <v>1</v>
      </c>
      <c r="G56" s="52">
        <v>1.05</v>
      </c>
      <c r="H56" s="52">
        <v>1.1000000000000001</v>
      </c>
    </row>
    <row r="57" spans="1:11" ht="15" customHeight="1" x14ac:dyDescent="0.2">
      <c r="A57" s="1" t="s">
        <v>309</v>
      </c>
      <c r="B57" s="46">
        <v>100</v>
      </c>
      <c r="C57" s="47">
        <f t="dataTable" ref="C57:H67" dt2D="1" dtr="1" r1="B8" r2="B4" ca="1"/>
        <v>83.184406652951566</v>
      </c>
      <c r="D57" s="48">
        <v>90.621328254974713</v>
      </c>
      <c r="E57" s="48">
        <v>98.078812556323641</v>
      </c>
      <c r="F57" s="48">
        <v>105.58300508746815</v>
      </c>
      <c r="G57" s="48">
        <v>113.12591942488775</v>
      </c>
      <c r="H57" s="48">
        <v>120.7008514627822</v>
      </c>
    </row>
    <row r="58" spans="1:11" ht="15" customHeight="1" x14ac:dyDescent="0.2">
      <c r="A58" s="49"/>
      <c r="B58" s="46">
        <v>95</v>
      </c>
      <c r="C58" s="48">
        <v>75.10356047235058</v>
      </c>
      <c r="D58" s="48">
        <v>82.004926229443498</v>
      </c>
      <c r="E58" s="48">
        <v>88.951813970295362</v>
      </c>
      <c r="F58" s="48">
        <v>95.920744826817611</v>
      </c>
      <c r="G58" s="48">
        <v>102.92854813939741</v>
      </c>
      <c r="H58" s="48">
        <v>109.97278695471786</v>
      </c>
    </row>
    <row r="59" spans="1:11" ht="15" customHeight="1" x14ac:dyDescent="0.2">
      <c r="A59" s="49"/>
      <c r="B59" s="46">
        <v>90</v>
      </c>
      <c r="C59" s="48">
        <v>67.055845563289353</v>
      </c>
      <c r="D59" s="48">
        <v>73.460020649927685</v>
      </c>
      <c r="E59" s="48">
        <v>79.876734554524319</v>
      </c>
      <c r="F59" s="48">
        <v>86.327010249786781</v>
      </c>
      <c r="G59" s="48">
        <v>92.806430384004543</v>
      </c>
      <c r="H59" s="48">
        <v>99.313155248860568</v>
      </c>
    </row>
    <row r="60" spans="1:11" ht="15" customHeight="1" x14ac:dyDescent="0.2">
      <c r="A60" s="49"/>
      <c r="B60" s="46">
        <v>85</v>
      </c>
      <c r="C60" s="48">
        <v>59.074301972317073</v>
      </c>
      <c r="D60" s="48">
        <v>64.956578243028602</v>
      </c>
      <c r="E60" s="48">
        <v>70.874689703660508</v>
      </c>
      <c r="F60" s="48">
        <v>76.808735227901465</v>
      </c>
      <c r="G60" s="48">
        <v>82.755732722715706</v>
      </c>
      <c r="H60" s="48">
        <v>88.745231548053042</v>
      </c>
    </row>
    <row r="61" spans="1:11" ht="15" customHeight="1" x14ac:dyDescent="0.2">
      <c r="A61" s="49"/>
      <c r="B61" s="46">
        <v>80</v>
      </c>
      <c r="C61" s="48">
        <v>51.215532301273889</v>
      </c>
      <c r="D61" s="48">
        <v>56.532848467267954</v>
      </c>
      <c r="E61" s="48">
        <v>61.927971970848567</v>
      </c>
      <c r="F61" s="48">
        <v>67.344392252272115</v>
      </c>
      <c r="G61" s="48">
        <v>72.795516160180711</v>
      </c>
      <c r="H61" s="48">
        <v>78.252369702131631</v>
      </c>
    </row>
    <row r="62" spans="1:11" ht="15" customHeight="1" x14ac:dyDescent="0.2">
      <c r="A62" s="49"/>
      <c r="B62" s="46">
        <v>75</v>
      </c>
      <c r="C62" s="48">
        <v>43.500249127744411</v>
      </c>
      <c r="D62" s="48">
        <v>48.270581584032314</v>
      </c>
      <c r="E62" s="48">
        <v>53.091347735922454</v>
      </c>
      <c r="F62" s="48">
        <v>57.969569737884378</v>
      </c>
      <c r="G62" s="48">
        <v>62.903356287727426</v>
      </c>
      <c r="H62" s="48">
        <v>67.850931693026268</v>
      </c>
    </row>
    <row r="63" spans="1:11" ht="15" customHeight="1" x14ac:dyDescent="0.2">
      <c r="A63" s="49"/>
      <c r="B63" s="46">
        <v>70</v>
      </c>
      <c r="C63" s="48">
        <v>35.938602410262313</v>
      </c>
      <c r="D63" s="48">
        <v>40.170793470177188</v>
      </c>
      <c r="E63" s="48">
        <v>44.454458621106156</v>
      </c>
      <c r="F63" s="48">
        <v>48.777086606443461</v>
      </c>
      <c r="G63" s="48">
        <v>53.13539938422219</v>
      </c>
      <c r="H63" s="48">
        <v>57.545594587970399</v>
      </c>
    </row>
    <row r="64" spans="1:11" ht="15" customHeight="1" x14ac:dyDescent="0.2">
      <c r="A64" s="49"/>
      <c r="B64" s="46">
        <v>65</v>
      </c>
      <c r="C64" s="48">
        <v>28.582631051038511</v>
      </c>
      <c r="D64" s="48">
        <v>32.271626276865433</v>
      </c>
      <c r="E64" s="48">
        <v>36.009030783610498</v>
      </c>
      <c r="F64" s="48">
        <v>39.791179776303061</v>
      </c>
      <c r="G64" s="48">
        <v>43.614520883512014</v>
      </c>
      <c r="H64" s="48">
        <v>47.462733264990227</v>
      </c>
    </row>
    <row r="65" spans="1:11" ht="15" customHeight="1" x14ac:dyDescent="0.2">
      <c r="A65" s="49"/>
      <c r="B65" s="46">
        <v>60</v>
      </c>
      <c r="C65" s="48">
        <v>21.43874900873266</v>
      </c>
      <c r="D65" s="48">
        <v>24.609459427881955</v>
      </c>
      <c r="E65" s="48">
        <v>27.814150259213321</v>
      </c>
      <c r="F65" s="48">
        <v>31.058611986627852</v>
      </c>
      <c r="G65" s="48">
        <v>34.33697458161862</v>
      </c>
      <c r="H65" s="48">
        <v>37.64724015857022</v>
      </c>
    </row>
    <row r="66" spans="1:11" ht="15" customHeight="1" x14ac:dyDescent="0.2">
      <c r="A66" s="49"/>
      <c r="B66" s="46">
        <v>55</v>
      </c>
      <c r="C66" s="48">
        <v>14.484035601956505</v>
      </c>
      <c r="D66" s="48">
        <v>17.184049580937142</v>
      </c>
      <c r="E66" s="48">
        <v>19.898788686078955</v>
      </c>
      <c r="F66" s="48">
        <v>22.635856647522669</v>
      </c>
      <c r="G66" s="48">
        <v>25.382996384176188</v>
      </c>
      <c r="H66" s="48">
        <v>28.161841901151</v>
      </c>
    </row>
    <row r="67" spans="1:11" ht="15" customHeight="1" x14ac:dyDescent="0.2">
      <c r="A67" s="49"/>
      <c r="B67" s="46">
        <v>50</v>
      </c>
      <c r="C67" s="48">
        <v>7.4970707820142977</v>
      </c>
      <c r="D67" s="48">
        <v>9.8463860622230843</v>
      </c>
      <c r="E67" s="48">
        <v>12.157973028098187</v>
      </c>
      <c r="F67" s="48">
        <v>14.458995907304429</v>
      </c>
      <c r="G67" s="48">
        <v>16.750812584645185</v>
      </c>
      <c r="H67" s="48">
        <v>19.045997339302335</v>
      </c>
    </row>
    <row r="68" spans="1:11" ht="15" customHeight="1" x14ac:dyDescent="0.2">
      <c r="A68" s="1" t="s">
        <v>310</v>
      </c>
      <c r="B68" s="50">
        <f>(F61-F63)/2</f>
        <v>9.2836528229143269</v>
      </c>
    </row>
    <row r="71" spans="1:11" ht="15.75" customHeight="1" x14ac:dyDescent="0.2">
      <c r="A71" s="4" t="s">
        <v>313</v>
      </c>
      <c r="B71" s="18"/>
      <c r="C71" s="18"/>
      <c r="D71" s="18"/>
      <c r="E71" s="18"/>
      <c r="F71" s="18"/>
      <c r="G71" s="18"/>
      <c r="H71" s="13"/>
      <c r="I71" s="13"/>
      <c r="J71" s="13"/>
      <c r="K71" s="13"/>
    </row>
    <row r="72" spans="1:11" ht="15" customHeight="1" x14ac:dyDescent="0.2">
      <c r="A72" s="1" t="s">
        <v>287</v>
      </c>
      <c r="B72" s="44">
        <f>'NAV Model 2P'!$B$114</f>
        <v>54.945619324370654</v>
      </c>
      <c r="C72" s="52">
        <v>0.8</v>
      </c>
      <c r="D72" s="52">
        <v>0.9</v>
      </c>
      <c r="E72" s="52">
        <v>1</v>
      </c>
      <c r="F72" s="52">
        <v>1.1000000000000001</v>
      </c>
      <c r="G72" s="52">
        <v>1.2</v>
      </c>
    </row>
    <row r="73" spans="1:11" ht="15" customHeight="1" x14ac:dyDescent="0.2">
      <c r="A73" s="1" t="s">
        <v>309</v>
      </c>
      <c r="B73" s="46">
        <v>100</v>
      </c>
      <c r="C73" s="47">
        <f t="dataTable" ref="C73:G83" dt2D="1" dtr="1" r1="B10" r2="B4" ca="1"/>
        <v>117.6832873727392</v>
      </c>
      <c r="D73" s="48">
        <v>111.62040831782336</v>
      </c>
      <c r="E73" s="48">
        <v>105.58300508746815</v>
      </c>
      <c r="F73" s="48">
        <v>99.574886883849061</v>
      </c>
      <c r="G73" s="48">
        <v>93.600662158196329</v>
      </c>
    </row>
    <row r="74" spans="1:11" ht="15" customHeight="1" x14ac:dyDescent="0.2">
      <c r="A74" s="49"/>
      <c r="B74" s="46">
        <v>95</v>
      </c>
      <c r="C74" s="48">
        <v>107.9352434577461</v>
      </c>
      <c r="D74" s="48">
        <v>101.911983301896</v>
      </c>
      <c r="E74" s="48">
        <v>95.920744826817611</v>
      </c>
      <c r="F74" s="48">
        <v>89.965427041969519</v>
      </c>
      <c r="G74" s="48">
        <v>84.02317749349065</v>
      </c>
    </row>
    <row r="75" spans="1:11" ht="15" customHeight="1" x14ac:dyDescent="0.2">
      <c r="A75" s="49"/>
      <c r="B75" s="46">
        <v>90</v>
      </c>
      <c r="C75" s="48">
        <v>98.245765071304547</v>
      </c>
      <c r="D75" s="48">
        <v>92.273192630197869</v>
      </c>
      <c r="E75" s="48">
        <v>86.327010249786781</v>
      </c>
      <c r="F75" s="48">
        <v>80.409881235832444</v>
      </c>
      <c r="G75" s="48">
        <v>74.527222320947061</v>
      </c>
    </row>
    <row r="76" spans="1:11" ht="15" customHeight="1" x14ac:dyDescent="0.2">
      <c r="A76" s="49"/>
      <c r="B76" s="46">
        <v>85</v>
      </c>
      <c r="C76" s="48">
        <v>88.633165751933703</v>
      </c>
      <c r="D76" s="48">
        <v>82.69748964901305</v>
      </c>
      <c r="E76" s="48">
        <v>76.808735227901465</v>
      </c>
      <c r="F76" s="48">
        <v>70.936210601141909</v>
      </c>
      <c r="G76" s="48">
        <v>65.085806218376732</v>
      </c>
    </row>
    <row r="77" spans="1:11" ht="15" customHeight="1" x14ac:dyDescent="0.2">
      <c r="A77" s="49"/>
      <c r="B77" s="46">
        <v>80</v>
      </c>
      <c r="C77" s="48">
        <v>79.078275039739978</v>
      </c>
      <c r="D77" s="48">
        <v>73.205014353799214</v>
      </c>
      <c r="E77" s="48">
        <v>67.344392252272115</v>
      </c>
      <c r="F77" s="48">
        <v>61.524343697075324</v>
      </c>
      <c r="G77" s="48">
        <v>55.745288662982205</v>
      </c>
    </row>
    <row r="78" spans="1:11" ht="15" customHeight="1" x14ac:dyDescent="0.2">
      <c r="A78" s="49"/>
      <c r="B78" s="46">
        <v>75</v>
      </c>
      <c r="C78" s="48">
        <v>69.611357856004958</v>
      </c>
      <c r="D78" s="48">
        <v>63.769997623773925</v>
      </c>
      <c r="E78" s="48">
        <v>57.969569737884378</v>
      </c>
      <c r="F78" s="48">
        <v>52.24839679243663</v>
      </c>
      <c r="G78" s="48">
        <v>46.603269720178879</v>
      </c>
    </row>
    <row r="79" spans="1:11" ht="15" customHeight="1" x14ac:dyDescent="0.2">
      <c r="A79" s="49"/>
      <c r="B79" s="46">
        <v>70</v>
      </c>
      <c r="C79" s="48">
        <v>60.204459306944841</v>
      </c>
      <c r="D79" s="48">
        <v>54.440661795817036</v>
      </c>
      <c r="E79" s="48">
        <v>48.777086606443461</v>
      </c>
      <c r="F79" s="48">
        <v>43.183094364668726</v>
      </c>
      <c r="G79" s="48">
        <v>37.66695078988645</v>
      </c>
    </row>
    <row r="80" spans="1:11" ht="15" customHeight="1" x14ac:dyDescent="0.2">
      <c r="A80" s="49"/>
      <c r="B80" s="46">
        <v>65</v>
      </c>
      <c r="C80" s="48">
        <v>50.943917266016427</v>
      </c>
      <c r="D80" s="48">
        <v>45.325088661937841</v>
      </c>
      <c r="E80" s="48">
        <v>39.791179776303061</v>
      </c>
      <c r="F80" s="48">
        <v>34.34158623523777</v>
      </c>
      <c r="G80" s="48">
        <v>28.989451137116486</v>
      </c>
    </row>
    <row r="81" spans="1:11" ht="15" customHeight="1" x14ac:dyDescent="0.2">
      <c r="A81" s="49"/>
      <c r="B81" s="46">
        <v>60</v>
      </c>
      <c r="C81" s="48">
        <v>41.907055969189422</v>
      </c>
      <c r="D81" s="48">
        <v>36.432594519245349</v>
      </c>
      <c r="E81" s="48">
        <v>31.058611986627852</v>
      </c>
      <c r="F81" s="48">
        <v>25.779374020579244</v>
      </c>
      <c r="G81" s="48">
        <v>20.585203728794404</v>
      </c>
    </row>
    <row r="82" spans="1:11" ht="15" customHeight="1" x14ac:dyDescent="0.2">
      <c r="A82" s="49"/>
      <c r="B82" s="46">
        <v>55</v>
      </c>
      <c r="C82" s="48">
        <v>33.119032831622818</v>
      </c>
      <c r="D82" s="48">
        <v>27.823724336241405</v>
      </c>
      <c r="E82" s="48">
        <v>22.635856647522669</v>
      </c>
      <c r="F82" s="48">
        <v>17.498144941732061</v>
      </c>
      <c r="G82" s="48">
        <v>12.339963369276312</v>
      </c>
    </row>
    <row r="83" spans="1:11" ht="15" customHeight="1" x14ac:dyDescent="0.2">
      <c r="A83" s="49"/>
      <c r="B83" s="46">
        <v>50</v>
      </c>
      <c r="C83" s="48">
        <v>24.650805961321431</v>
      </c>
      <c r="D83" s="48">
        <v>19.54176448672445</v>
      </c>
      <c r="E83" s="48">
        <v>14.458995907304429</v>
      </c>
      <c r="F83" s="48">
        <v>9.2593513915125669</v>
      </c>
      <c r="G83" s="48">
        <v>3.7692250135236849</v>
      </c>
    </row>
    <row r="84" spans="1:11" ht="15" customHeight="1" x14ac:dyDescent="0.2">
      <c r="A84" s="1" t="s">
        <v>310</v>
      </c>
      <c r="B84" s="50">
        <f>(E77-E79)/2</f>
        <v>9.2836528229143269</v>
      </c>
    </row>
    <row r="87" spans="1:11" ht="15.75" customHeight="1" x14ac:dyDescent="0.2">
      <c r="A87" s="4" t="s">
        <v>314</v>
      </c>
      <c r="B87" s="18"/>
      <c r="C87" s="18"/>
      <c r="D87" s="18"/>
      <c r="E87" s="18"/>
      <c r="F87" s="18"/>
      <c r="G87" s="18"/>
      <c r="H87" s="13"/>
      <c r="I87" s="13"/>
      <c r="J87" s="13"/>
      <c r="K87" s="13"/>
    </row>
    <row r="88" spans="1:11" ht="15" customHeight="1" x14ac:dyDescent="0.2">
      <c r="A88" s="1" t="s">
        <v>287</v>
      </c>
      <c r="B88" s="44">
        <f>'NAV Model 2P'!$B$114</f>
        <v>54.945619324370654</v>
      </c>
      <c r="C88" s="52">
        <v>0.8</v>
      </c>
      <c r="D88" s="52">
        <v>0.9</v>
      </c>
      <c r="E88" s="52">
        <v>1</v>
      </c>
      <c r="F88" s="52">
        <v>1.1000000000000001</v>
      </c>
      <c r="G88" s="52">
        <v>1.2</v>
      </c>
    </row>
    <row r="89" spans="1:11" ht="15" customHeight="1" x14ac:dyDescent="0.2">
      <c r="A89" s="1" t="s">
        <v>309</v>
      </c>
      <c r="B89" s="46">
        <v>100</v>
      </c>
      <c r="C89" s="47">
        <f t="dataTable" ref="C89:G99" dt2D="1" dtr="1" r1="B11" r2="B4" ca="1"/>
        <v>109.19052185147619</v>
      </c>
      <c r="D89" s="48">
        <v>107.38146913532772</v>
      </c>
      <c r="E89" s="48">
        <v>105.58300508746815</v>
      </c>
      <c r="F89" s="48">
        <v>103.79583319829057</v>
      </c>
      <c r="G89" s="48">
        <v>102.02072068757263</v>
      </c>
    </row>
    <row r="90" spans="1:11" ht="15" customHeight="1" x14ac:dyDescent="0.2">
      <c r="A90" s="49"/>
      <c r="B90" s="46">
        <v>95</v>
      </c>
      <c r="C90" s="48">
        <v>99.464928475545705</v>
      </c>
      <c r="D90" s="48">
        <v>97.686315855544194</v>
      </c>
      <c r="E90" s="48">
        <v>95.920744826817611</v>
      </c>
      <c r="F90" s="48">
        <v>94.169166358763619</v>
      </c>
      <c r="G90" s="48">
        <v>92.420044373151953</v>
      </c>
    </row>
    <row r="91" spans="1:11" ht="15" customHeight="1" x14ac:dyDescent="0.2">
      <c r="A91" s="49"/>
      <c r="B91" s="46">
        <v>90</v>
      </c>
      <c r="C91" s="48">
        <v>89.805867565307722</v>
      </c>
      <c r="D91" s="48">
        <v>88.065638900384187</v>
      </c>
      <c r="E91" s="48">
        <v>86.327010249786781</v>
      </c>
      <c r="F91" s="48">
        <v>84.598226149586708</v>
      </c>
      <c r="G91" s="48">
        <v>82.887412469600008</v>
      </c>
    </row>
    <row r="92" spans="1:11" ht="15" customHeight="1" x14ac:dyDescent="0.2">
      <c r="A92" s="49"/>
      <c r="B92" s="46">
        <v>85</v>
      </c>
      <c r="C92" s="48">
        <v>80.218192803264628</v>
      </c>
      <c r="D92" s="48">
        <v>78.503534625101693</v>
      </c>
      <c r="E92" s="48">
        <v>76.808735227901465</v>
      </c>
      <c r="F92" s="48">
        <v>75.108049810949026</v>
      </c>
      <c r="G92" s="48">
        <v>73.395260198727186</v>
      </c>
    </row>
    <row r="93" spans="1:11" ht="15" customHeight="1" x14ac:dyDescent="0.2">
      <c r="A93" s="49"/>
      <c r="B93" s="46">
        <v>80</v>
      </c>
      <c r="C93" s="48">
        <v>70.714102112714968</v>
      </c>
      <c r="D93" s="48">
        <v>69.032195747903728</v>
      </c>
      <c r="E93" s="48">
        <v>67.344392252272115</v>
      </c>
      <c r="F93" s="48">
        <v>65.669850078913939</v>
      </c>
      <c r="G93" s="48">
        <v>63.980083105915199</v>
      </c>
    </row>
    <row r="94" spans="1:11" ht="15" customHeight="1" x14ac:dyDescent="0.2">
      <c r="A94" s="49"/>
      <c r="B94" s="46">
        <v>75</v>
      </c>
      <c r="C94" s="48">
        <v>61.27927448085196</v>
      </c>
      <c r="D94" s="48">
        <v>59.62961843647544</v>
      </c>
      <c r="E94" s="48">
        <v>57.969569737884378</v>
      </c>
      <c r="F94" s="48">
        <v>56.335607827627015</v>
      </c>
      <c r="G94" s="48">
        <v>54.733048715236343</v>
      </c>
    </row>
    <row r="95" spans="1:11" ht="15" customHeight="1" x14ac:dyDescent="0.2">
      <c r="A95" s="49"/>
      <c r="B95" s="46">
        <v>70</v>
      </c>
      <c r="C95" s="48">
        <v>51.949178802330458</v>
      </c>
      <c r="D95" s="48">
        <v>50.348813861808566</v>
      </c>
      <c r="E95" s="48">
        <v>48.777086606443461</v>
      </c>
      <c r="F95" s="48">
        <v>47.21219729103295</v>
      </c>
      <c r="G95" s="48">
        <v>45.654928944855222</v>
      </c>
    </row>
    <row r="96" spans="1:11" ht="15" customHeight="1" x14ac:dyDescent="0.2">
      <c r="A96" s="49"/>
      <c r="B96" s="46">
        <v>65</v>
      </c>
      <c r="C96" s="48">
        <v>42.820216410507754</v>
      </c>
      <c r="D96" s="48">
        <v>41.305115564845281</v>
      </c>
      <c r="E96" s="48">
        <v>39.791179776303061</v>
      </c>
      <c r="F96" s="48">
        <v>38.290394604262168</v>
      </c>
      <c r="G96" s="48">
        <v>36.798983850483594</v>
      </c>
    </row>
    <row r="97" spans="1:11" ht="15" customHeight="1" x14ac:dyDescent="0.2">
      <c r="A97" s="49"/>
      <c r="B97" s="46">
        <v>60</v>
      </c>
      <c r="C97" s="48">
        <v>33.93951761884253</v>
      </c>
      <c r="D97" s="48">
        <v>32.495856271505232</v>
      </c>
      <c r="E97" s="48">
        <v>31.058611986627852</v>
      </c>
      <c r="F97" s="48">
        <v>29.625571092306899</v>
      </c>
      <c r="G97" s="48">
        <v>28.196024957514464</v>
      </c>
    </row>
    <row r="98" spans="1:11" ht="15" customHeight="1" x14ac:dyDescent="0.2">
      <c r="A98" s="49"/>
      <c r="B98" s="46">
        <v>55</v>
      </c>
      <c r="C98" s="48">
        <v>25.365509840869873</v>
      </c>
      <c r="D98" s="48">
        <v>23.998103554835275</v>
      </c>
      <c r="E98" s="48">
        <v>22.635856647522669</v>
      </c>
      <c r="F98" s="48">
        <v>21.245817394732992</v>
      </c>
      <c r="G98" s="48">
        <v>19.828194526511698</v>
      </c>
    </row>
    <row r="99" spans="1:11" ht="15" customHeight="1" x14ac:dyDescent="0.2">
      <c r="A99" s="49"/>
      <c r="B99" s="46">
        <v>50</v>
      </c>
      <c r="C99" s="48">
        <v>17.15592070802203</v>
      </c>
      <c r="D99" s="48">
        <v>15.831790215374802</v>
      </c>
      <c r="E99" s="48">
        <v>14.458995907304429</v>
      </c>
      <c r="F99" s="48">
        <v>13.019354623569892</v>
      </c>
      <c r="G99" s="48">
        <v>11.494326483393356</v>
      </c>
    </row>
    <row r="100" spans="1:11" ht="15" customHeight="1" x14ac:dyDescent="0.2">
      <c r="A100" s="1" t="s">
        <v>310</v>
      </c>
      <c r="B100" s="50">
        <f>(E93-E95)/2</f>
        <v>9.2836528229143269</v>
      </c>
    </row>
    <row r="103" spans="1:11" ht="15.75" customHeight="1" x14ac:dyDescent="0.2">
      <c r="A103" s="4" t="s">
        <v>315</v>
      </c>
      <c r="B103" s="18"/>
      <c r="C103" s="18"/>
      <c r="D103" s="18"/>
      <c r="E103" s="18"/>
      <c r="F103" s="18"/>
      <c r="G103" s="13"/>
      <c r="H103" s="13"/>
      <c r="I103" s="13"/>
      <c r="J103" s="13"/>
      <c r="K103" s="13"/>
    </row>
    <row r="104" spans="1:11" ht="15" customHeight="1" x14ac:dyDescent="0.2">
      <c r="A104" s="1" t="s">
        <v>287</v>
      </c>
      <c r="B104" s="44">
        <f>'NAV Model 2P'!$B$114</f>
        <v>54.945619324370654</v>
      </c>
      <c r="C104" s="53">
        <v>1.3</v>
      </c>
      <c r="D104" s="53">
        <v>1.35</v>
      </c>
      <c r="E104" s="53">
        <v>1.4</v>
      </c>
      <c r="F104" s="53">
        <v>1.45</v>
      </c>
    </row>
    <row r="105" spans="1:11" ht="15" customHeight="1" x14ac:dyDescent="0.2">
      <c r="A105" s="1" t="s">
        <v>309</v>
      </c>
      <c r="B105" s="46">
        <v>100</v>
      </c>
      <c r="C105" s="47">
        <f t="dataTable" ref="C105:F115" dt2D="1" dtr="1" r1="B12" r2="B4" ca="1"/>
        <v>98.770860113571402</v>
      </c>
      <c r="D105" s="48">
        <v>105.40339365874942</v>
      </c>
      <c r="E105" s="48">
        <v>112.05994191023424</v>
      </c>
      <c r="F105" s="48">
        <v>118.73646174323243</v>
      </c>
    </row>
    <row r="106" spans="1:11" ht="15" customHeight="1" x14ac:dyDescent="0.2">
      <c r="A106" s="49"/>
      <c r="B106" s="46">
        <v>95</v>
      </c>
      <c r="C106" s="48">
        <v>89.497178936529266</v>
      </c>
      <c r="D106" s="48">
        <v>95.751280083771832</v>
      </c>
      <c r="E106" s="48">
        <v>102.03484037266723</v>
      </c>
      <c r="F106" s="48">
        <v>108.3427223890058</v>
      </c>
    </row>
    <row r="107" spans="1:11" ht="15" customHeight="1" x14ac:dyDescent="0.2">
      <c r="A107" s="49"/>
      <c r="B107" s="46">
        <v>90</v>
      </c>
      <c r="C107" s="48">
        <v>80.302089169704843</v>
      </c>
      <c r="D107" s="48">
        <v>86.167929751110833</v>
      </c>
      <c r="E107" s="48">
        <v>92.070526981005614</v>
      </c>
      <c r="F107" s="48">
        <v>98.003205124235151</v>
      </c>
    </row>
    <row r="108" spans="1:11" ht="15" customHeight="1" x14ac:dyDescent="0.2">
      <c r="A108" s="49"/>
      <c r="B108" s="46">
        <v>85</v>
      </c>
      <c r="C108" s="48">
        <v>71.166162546270201</v>
      </c>
      <c r="D108" s="48">
        <v>76.6603503035427</v>
      </c>
      <c r="E108" s="48">
        <v>82.17163552259025</v>
      </c>
      <c r="F108" s="48">
        <v>87.720758664176358</v>
      </c>
    </row>
    <row r="109" spans="1:11" ht="15" customHeight="1" x14ac:dyDescent="0.2">
      <c r="A109" s="49"/>
      <c r="B109" s="46">
        <v>80</v>
      </c>
      <c r="C109" s="48">
        <v>62.086524990844993</v>
      </c>
      <c r="D109" s="48">
        <v>67.205297581929244</v>
      </c>
      <c r="E109" s="48">
        <v>72.368713839693001</v>
      </c>
      <c r="F109" s="48">
        <v>77.548210557587652</v>
      </c>
    </row>
    <row r="110" spans="1:11" ht="15" customHeight="1" x14ac:dyDescent="0.2">
      <c r="A110" s="49"/>
      <c r="B110" s="46">
        <v>75</v>
      </c>
      <c r="C110" s="48">
        <v>53.112510630333333</v>
      </c>
      <c r="D110" s="48">
        <v>57.840852817175026</v>
      </c>
      <c r="E110" s="48">
        <v>62.630748723624627</v>
      </c>
      <c r="F110" s="48">
        <v>67.434484145325698</v>
      </c>
    </row>
    <row r="111" spans="1:11" ht="15" customHeight="1" x14ac:dyDescent="0.2">
      <c r="A111" s="49"/>
      <c r="B111" s="46">
        <v>70</v>
      </c>
      <c r="C111" s="48">
        <v>44.352569509510879</v>
      </c>
      <c r="D111" s="48">
        <v>48.659460738998874</v>
      </c>
      <c r="E111" s="48">
        <v>53.01496059292311</v>
      </c>
      <c r="F111" s="48">
        <v>57.425819496604007</v>
      </c>
    </row>
    <row r="112" spans="1:11" ht="15" customHeight="1" x14ac:dyDescent="0.2">
      <c r="A112" s="49"/>
      <c r="B112" s="46">
        <v>65</v>
      </c>
      <c r="C112" s="48">
        <v>35.797525625427149</v>
      </c>
      <c r="D112" s="48">
        <v>39.685833699980591</v>
      </c>
      <c r="E112" s="48">
        <v>43.634034214371702</v>
      </c>
      <c r="F112" s="48">
        <v>47.623768752063576</v>
      </c>
    </row>
    <row r="113" spans="1:7" ht="15" customHeight="1" x14ac:dyDescent="0.2">
      <c r="A113" s="49"/>
      <c r="B113" s="46">
        <v>60</v>
      </c>
      <c r="C113" s="48">
        <v>27.504779454994811</v>
      </c>
      <c r="D113" s="48">
        <v>30.963800305953129</v>
      </c>
      <c r="E113" s="48">
        <v>34.485754589944015</v>
      </c>
      <c r="F113" s="48">
        <v>38.060825799937703</v>
      </c>
    </row>
    <row r="114" spans="1:7" ht="15" customHeight="1" x14ac:dyDescent="0.2">
      <c r="A114" s="49"/>
      <c r="B114" s="46">
        <v>55</v>
      </c>
      <c r="C114" s="48">
        <v>19.5039358826922</v>
      </c>
      <c r="D114" s="48">
        <v>22.553364065400359</v>
      </c>
      <c r="E114" s="48">
        <v>25.641687289490484</v>
      </c>
      <c r="F114" s="48">
        <v>28.796835848703569</v>
      </c>
    </row>
    <row r="115" spans="1:7" ht="15" customHeight="1" x14ac:dyDescent="0.2">
      <c r="A115" s="49"/>
      <c r="B115" s="46">
        <v>50</v>
      </c>
      <c r="C115" s="48">
        <v>11.645465237008166</v>
      </c>
      <c r="D115" s="48">
        <v>14.384642903306897</v>
      </c>
      <c r="E115" s="48">
        <v>17.115820366615214</v>
      </c>
      <c r="F115" s="48">
        <v>19.868945520064237</v>
      </c>
    </row>
    <row r="116" spans="1:7" ht="15" customHeight="1" x14ac:dyDescent="0.2">
      <c r="A116" s="1" t="s">
        <v>310</v>
      </c>
      <c r="B116" s="50">
        <f>(D109-D111)/2</f>
        <v>9.2729184214651852</v>
      </c>
    </row>
    <row r="119" spans="1:7" ht="42.75" customHeight="1" x14ac:dyDescent="0.2">
      <c r="A119" s="3" t="s">
        <v>324</v>
      </c>
    </row>
    <row r="122" spans="1:7" ht="15.75" customHeight="1" x14ac:dyDescent="0.2">
      <c r="A122" s="1" t="s">
        <v>317</v>
      </c>
    </row>
    <row r="123" spans="1:7" ht="15.75" customHeight="1" x14ac:dyDescent="0.2">
      <c r="A123" s="14" t="s">
        <v>157</v>
      </c>
      <c r="B123" s="38">
        <f>'NAV Model 2P'!$B$114</f>
        <v>54.945619324370654</v>
      </c>
      <c r="C123" s="54">
        <v>0.6</v>
      </c>
      <c r="D123" s="54">
        <v>0.8</v>
      </c>
      <c r="E123" s="54">
        <v>1</v>
      </c>
      <c r="F123" s="54">
        <v>1.2</v>
      </c>
      <c r="G123" s="54">
        <v>1.4</v>
      </c>
    </row>
    <row r="124" spans="1:7" ht="15.75" customHeight="1" x14ac:dyDescent="0.2">
      <c r="A124" s="14" t="s">
        <v>309</v>
      </c>
      <c r="B124" s="54">
        <v>100</v>
      </c>
      <c r="C124" s="54">
        <f t="dataTable" ref="C124:G135" dt2D="1" dtr="1" r1="B18" r2="B4"/>
        <v>100.38512533295822</v>
      </c>
      <c r="D124" s="54">
        <v>102.98040472866252</v>
      </c>
      <c r="E124" s="54">
        <v>105.58300508746815</v>
      </c>
      <c r="F124" s="54">
        <v>108.19255931336805</v>
      </c>
      <c r="G124" s="54">
        <v>110.80872445000014</v>
      </c>
    </row>
    <row r="125" spans="1:7" ht="15.75" customHeight="1" x14ac:dyDescent="0.2">
      <c r="B125" s="54">
        <v>95</v>
      </c>
      <c r="C125" s="54">
        <v>90.78005272355351</v>
      </c>
      <c r="D125" s="54">
        <v>93.345840687823483</v>
      </c>
      <c r="E125" s="54">
        <v>95.920744826817611</v>
      </c>
      <c r="F125" s="54">
        <v>98.504265295090519</v>
      </c>
      <c r="G125" s="54">
        <v>101.09593813374521</v>
      </c>
    </row>
    <row r="126" spans="1:7" ht="15.75" customHeight="1" x14ac:dyDescent="0.2">
      <c r="B126" s="54">
        <v>90</v>
      </c>
      <c r="C126" s="54">
        <v>81.236142725551034</v>
      </c>
      <c r="D126" s="54">
        <v>83.776005234648565</v>
      </c>
      <c r="E126" s="54">
        <v>86.327010249786781</v>
      </c>
      <c r="F126" s="54">
        <v>88.88848381805596</v>
      </c>
      <c r="G126" s="54">
        <v>91.45299558810737</v>
      </c>
    </row>
    <row r="127" spans="1:7" ht="15.75" customHeight="1" x14ac:dyDescent="0.2">
      <c r="B127" s="54">
        <v>85</v>
      </c>
      <c r="C127" s="54">
        <v>71.779180575944281</v>
      </c>
      <c r="D127" s="54">
        <v>74.28807140311666</v>
      </c>
      <c r="E127" s="54">
        <v>76.808735227901465</v>
      </c>
      <c r="F127" s="54">
        <v>79.329423347436816</v>
      </c>
      <c r="G127" s="54">
        <v>81.862860130933896</v>
      </c>
    </row>
    <row r="128" spans="1:7" ht="15.75" customHeight="1" x14ac:dyDescent="0.2">
      <c r="B128" s="54">
        <v>80</v>
      </c>
      <c r="C128" s="54">
        <v>62.380028239845174</v>
      </c>
      <c r="D128" s="54">
        <v>64.855882674517972</v>
      </c>
      <c r="E128" s="54">
        <v>67.344392252272115</v>
      </c>
      <c r="F128" s="54">
        <v>69.849265262894235</v>
      </c>
      <c r="G128" s="54">
        <v>72.356701967446995</v>
      </c>
    </row>
    <row r="129" spans="2:7" ht="15.75" customHeight="1" x14ac:dyDescent="0.2">
      <c r="B129" s="54">
        <v>75</v>
      </c>
      <c r="C129" s="54">
        <v>53.108085195194789</v>
      </c>
      <c r="D129" s="54">
        <v>55.527050067556289</v>
      </c>
      <c r="E129" s="54">
        <v>57.969569737884378</v>
      </c>
      <c r="F129" s="54">
        <v>60.433581306267421</v>
      </c>
      <c r="G129" s="54">
        <v>62.908171429481065</v>
      </c>
    </row>
    <row r="130" spans="2:7" ht="15.75" customHeight="1" x14ac:dyDescent="0.2">
      <c r="B130" s="54">
        <v>73.37</v>
      </c>
      <c r="C130" s="54">
        <v>50.140895433512178</v>
      </c>
      <c r="D130" s="54">
        <v>52.531504106974531</v>
      </c>
      <c r="E130" s="54">
        <v>54.945619324370654</v>
      </c>
      <c r="F130" s="54">
        <v>57.384069399240808</v>
      </c>
      <c r="G130" s="54">
        <v>59.844680765651511</v>
      </c>
    </row>
    <row r="131" spans="2:7" ht="15.75" customHeight="1" x14ac:dyDescent="0.2">
      <c r="B131" s="54">
        <v>70</v>
      </c>
      <c r="C131" s="54">
        <v>44.056388036888045</v>
      </c>
      <c r="D131" s="54">
        <v>46.402842871746806</v>
      </c>
      <c r="E131" s="54">
        <v>48.777086606443461</v>
      </c>
      <c r="F131" s="54">
        <v>51.162527085924211</v>
      </c>
      <c r="G131" s="54">
        <v>53.564600748199794</v>
      </c>
    </row>
    <row r="132" spans="2:7" ht="15.75" customHeight="1" x14ac:dyDescent="0.2">
      <c r="B132" s="54">
        <v>65</v>
      </c>
      <c r="C132" s="54">
        <v>35.222319928013796</v>
      </c>
      <c r="D132" s="54">
        <v>37.493822606632193</v>
      </c>
      <c r="E132" s="54">
        <v>39.791179776303061</v>
      </c>
      <c r="F132" s="54">
        <v>42.10292471930692</v>
      </c>
      <c r="G132" s="54">
        <v>44.436898347305686</v>
      </c>
    </row>
    <row r="133" spans="2:7" ht="15.75" customHeight="1" x14ac:dyDescent="0.2">
      <c r="B133" s="54">
        <v>60</v>
      </c>
      <c r="C133" s="54">
        <v>26.659235249280435</v>
      </c>
      <c r="D133" s="54">
        <v>28.852774344890399</v>
      </c>
      <c r="E133" s="54">
        <v>31.058611986627852</v>
      </c>
      <c r="F133" s="54">
        <v>33.281786359766286</v>
      </c>
      <c r="G133" s="54">
        <v>35.528532470236627</v>
      </c>
    </row>
    <row r="134" spans="2:7" ht="15.75" customHeight="1" x14ac:dyDescent="0.2">
      <c r="B134" s="54">
        <v>55</v>
      </c>
      <c r="C134" s="54">
        <v>18.352643597845159</v>
      </c>
      <c r="D134" s="54">
        <v>20.49887953793408</v>
      </c>
      <c r="E134" s="54">
        <v>22.635856647522669</v>
      </c>
      <c r="F134" s="54">
        <v>24.762243942772002</v>
      </c>
      <c r="G134" s="54">
        <v>26.906806347339298</v>
      </c>
    </row>
    <row r="135" spans="2:7" ht="15.75" customHeight="1" x14ac:dyDescent="0.2">
      <c r="B135" s="54">
        <v>50</v>
      </c>
      <c r="C135" s="54">
        <v>10.010403461328369</v>
      </c>
      <c r="D135" s="54">
        <v>12.293489006535744</v>
      </c>
      <c r="E135" s="54">
        <v>14.458995907304429</v>
      </c>
      <c r="F135" s="54">
        <v>16.56171982424808</v>
      </c>
      <c r="G135" s="54">
        <v>18.628455126730991</v>
      </c>
    </row>
  </sheetData>
  <pageMargins left="0.75" right="0.75" top="1" bottom="1" header="0.511811023622047" footer="0.511811023622047"/>
  <pageSetup paperSize="9" orientation="portrait" horizontalDpi="300" verticalDpi="300"/>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A6A6A6"/>
  </sheetPr>
  <dimension ref="A1:I324"/>
  <sheetViews>
    <sheetView showGridLines="0" topLeftCell="A19" zoomScale="118" zoomScaleNormal="111" workbookViewId="0">
      <pane xSplit="1" ySplit="4" topLeftCell="B93" activePane="bottomRight" state="frozen"/>
      <selection pane="topRight"/>
      <selection pane="bottomLeft"/>
      <selection pane="bottomRight" activeCell="H105" sqref="H105"/>
    </sheetView>
  </sheetViews>
  <sheetFormatPr baseColWidth="10" defaultColWidth="8.5" defaultRowHeight="16" x14ac:dyDescent="0.2"/>
  <cols>
    <col min="1" max="1" width="52" customWidth="1"/>
    <col min="2" max="7" width="15" customWidth="1"/>
    <col min="8" max="8" width="60" customWidth="1"/>
    <col min="9" max="9" width="16" customWidth="1"/>
  </cols>
  <sheetData>
    <row r="1" spans="1:8" ht="17.25" customHeight="1" x14ac:dyDescent="0.2">
      <c r="A1" s="84" t="s">
        <v>325</v>
      </c>
    </row>
    <row r="2" spans="1:8" ht="15" customHeight="1" x14ac:dyDescent="0.2">
      <c r="A2" s="3" t="s">
        <v>326</v>
      </c>
    </row>
    <row r="4" spans="1:8" ht="15" customHeight="1" x14ac:dyDescent="0.2">
      <c r="A4" s="85" t="s">
        <v>327</v>
      </c>
      <c r="B4" s="18"/>
      <c r="C4" s="18"/>
      <c r="D4" s="18"/>
      <c r="E4" s="18"/>
      <c r="F4" s="18"/>
      <c r="G4" s="18"/>
      <c r="H4" s="18"/>
    </row>
    <row r="5" spans="1:8" ht="15" customHeight="1" x14ac:dyDescent="0.2">
      <c r="A5" s="5" t="s">
        <v>328</v>
      </c>
      <c r="B5" s="14" t="s">
        <v>329</v>
      </c>
      <c r="H5" s="2" t="s">
        <v>330</v>
      </c>
    </row>
    <row r="6" spans="1:8" ht="15" customHeight="1" x14ac:dyDescent="0.2">
      <c r="A6" s="5" t="s">
        <v>46</v>
      </c>
      <c r="B6" s="86">
        <f>'Sensitivities 1P'!B7</f>
        <v>0.1</v>
      </c>
      <c r="H6" s="2" t="s">
        <v>331</v>
      </c>
    </row>
    <row r="7" spans="1:8" ht="15" customHeight="1" x14ac:dyDescent="0.2">
      <c r="A7" s="5" t="s">
        <v>332</v>
      </c>
      <c r="B7" s="37">
        <v>0.5</v>
      </c>
      <c r="H7" s="2" t="s">
        <v>333</v>
      </c>
    </row>
    <row r="8" spans="1:8" ht="15" customHeight="1" x14ac:dyDescent="0.2">
      <c r="A8" s="5" t="s">
        <v>334</v>
      </c>
      <c r="B8" s="39">
        <v>0</v>
      </c>
      <c r="H8" s="2" t="s">
        <v>335</v>
      </c>
    </row>
    <row r="9" spans="1:8" ht="15" customHeight="1" x14ac:dyDescent="0.2">
      <c r="A9" s="5" t="s">
        <v>336</v>
      </c>
      <c r="B9" s="39">
        <v>0.02</v>
      </c>
      <c r="H9" s="2" t="s">
        <v>337</v>
      </c>
    </row>
    <row r="10" spans="1:8" ht="15" customHeight="1" x14ac:dyDescent="0.2">
      <c r="A10" s="5" t="s">
        <v>338</v>
      </c>
      <c r="B10" s="39">
        <v>0.02</v>
      </c>
      <c r="H10" s="2" t="s">
        <v>339</v>
      </c>
    </row>
    <row r="11" spans="1:8" ht="15" customHeight="1" x14ac:dyDescent="0.2">
      <c r="A11" s="5" t="s">
        <v>340</v>
      </c>
      <c r="B11" s="87">
        <f>B90/B88</f>
        <v>0.22445149795725908</v>
      </c>
      <c r="H11" s="2" t="s">
        <v>341</v>
      </c>
    </row>
    <row r="12" spans="1:8" ht="15" customHeight="1" x14ac:dyDescent="0.2">
      <c r="A12" s="5" t="s">
        <v>342</v>
      </c>
      <c r="B12" s="40">
        <v>0</v>
      </c>
      <c r="H12" s="2" t="s">
        <v>748</v>
      </c>
    </row>
    <row r="13" spans="1:8" ht="15" customHeight="1" x14ac:dyDescent="0.2">
      <c r="A13" s="5" t="s">
        <v>343</v>
      </c>
      <c r="B13" s="40">
        <v>0</v>
      </c>
      <c r="H13" s="2" t="s">
        <v>749</v>
      </c>
    </row>
    <row r="14" spans="1:8" ht="15" customHeight="1" x14ac:dyDescent="0.2">
      <c r="A14" s="5" t="s">
        <v>344</v>
      </c>
      <c r="B14" s="75">
        <v>14500</v>
      </c>
      <c r="H14" s="2" t="s">
        <v>750</v>
      </c>
    </row>
    <row r="15" spans="1:8" ht="15" customHeight="1" x14ac:dyDescent="0.2">
      <c r="A15" s="5" t="s">
        <v>345</v>
      </c>
      <c r="B15" s="77">
        <v>2085.9720000000002</v>
      </c>
      <c r="H15" s="2" t="s">
        <v>346</v>
      </c>
    </row>
    <row r="16" spans="1:8" ht="15" customHeight="1" x14ac:dyDescent="0.2">
      <c r="A16" s="5" t="s">
        <v>347</v>
      </c>
      <c r="B16" s="65">
        <f>B111</f>
        <v>-1358.884667730721</v>
      </c>
      <c r="H16" s="2" t="s">
        <v>348</v>
      </c>
    </row>
    <row r="17" spans="1:8" ht="15" customHeight="1" x14ac:dyDescent="0.2">
      <c r="A17" s="5" t="s">
        <v>349</v>
      </c>
      <c r="B17" s="75">
        <v>0</v>
      </c>
      <c r="H17" s="2" t="s">
        <v>350</v>
      </c>
    </row>
    <row r="18" spans="1:8" ht="15.75" customHeight="1" x14ac:dyDescent="0.2">
      <c r="A18" s="5" t="s">
        <v>351</v>
      </c>
      <c r="B18" s="75">
        <v>3106</v>
      </c>
      <c r="H18" s="2" t="s">
        <v>352</v>
      </c>
    </row>
    <row r="19" spans="1:8" ht="30" customHeight="1" x14ac:dyDescent="0.2">
      <c r="A19" s="85" t="s">
        <v>353</v>
      </c>
      <c r="B19" s="18"/>
      <c r="C19" s="18"/>
      <c r="D19" s="18"/>
      <c r="E19" s="18"/>
      <c r="F19" s="18"/>
      <c r="G19" s="18"/>
      <c r="H19" s="18"/>
    </row>
    <row r="20" spans="1:8" ht="60" customHeight="1" x14ac:dyDescent="0.2">
      <c r="A20" s="88" t="s">
        <v>354</v>
      </c>
      <c r="B20" s="88" t="s">
        <v>355</v>
      </c>
      <c r="C20" s="88" t="s">
        <v>356</v>
      </c>
      <c r="D20" s="88" t="s">
        <v>357</v>
      </c>
      <c r="E20" s="88" t="s">
        <v>358</v>
      </c>
      <c r="F20" s="29" t="s">
        <v>359</v>
      </c>
      <c r="H20" s="2" t="s">
        <v>4</v>
      </c>
    </row>
    <row r="21" spans="1:8" x14ac:dyDescent="0.2">
      <c r="A21" s="5" t="s">
        <v>209</v>
      </c>
      <c r="B21" s="75">
        <v>309</v>
      </c>
      <c r="C21" s="14" t="s">
        <v>360</v>
      </c>
      <c r="D21" s="14" t="s">
        <v>361</v>
      </c>
      <c r="E21" s="27">
        <f>'Reserves Data'!B34-B21</f>
        <v>0</v>
      </c>
      <c r="F21" s="27">
        <f>B21*'Sensitivities 1P'!$B$8</f>
        <v>309</v>
      </c>
      <c r="H21" s="2" t="s">
        <v>362</v>
      </c>
    </row>
    <row r="22" spans="1:8" x14ac:dyDescent="0.2">
      <c r="A22" s="5" t="s">
        <v>210</v>
      </c>
      <c r="B22" s="75">
        <v>228</v>
      </c>
      <c r="C22" s="14" t="s">
        <v>360</v>
      </c>
      <c r="D22" s="14" t="s">
        <v>361</v>
      </c>
      <c r="E22" s="27">
        <f>'Reserves Data'!C34-B22</f>
        <v>0</v>
      </c>
      <c r="F22" s="27">
        <f>B22*'Sensitivities 1P'!$B$8</f>
        <v>228</v>
      </c>
      <c r="H22" s="2" t="s">
        <v>362</v>
      </c>
    </row>
    <row r="23" spans="1:8" x14ac:dyDescent="0.2">
      <c r="A23" s="5" t="s">
        <v>211</v>
      </c>
      <c r="B23" s="75">
        <v>243</v>
      </c>
      <c r="C23" s="14" t="s">
        <v>360</v>
      </c>
      <c r="D23" s="14" t="s">
        <v>361</v>
      </c>
      <c r="E23" s="27">
        <f>'Reserves Data'!D34-B23</f>
        <v>0</v>
      </c>
      <c r="F23" s="27">
        <f>B23*'Sensitivities 1P'!$B$8</f>
        <v>243</v>
      </c>
      <c r="H23" s="2" t="s">
        <v>362</v>
      </c>
    </row>
    <row r="24" spans="1:8" x14ac:dyDescent="0.2">
      <c r="A24" s="5" t="s">
        <v>212</v>
      </c>
      <c r="B24" s="75">
        <v>3330</v>
      </c>
      <c r="C24" s="14" t="s">
        <v>360</v>
      </c>
      <c r="D24" s="14" t="s">
        <v>363</v>
      </c>
      <c r="E24" s="27">
        <f>'Reserves Data'!E34-B24</f>
        <v>0</v>
      </c>
      <c r="F24" s="27">
        <f>B24*'Sensitivities 1P'!$B$8</f>
        <v>3330</v>
      </c>
      <c r="H24" s="2" t="s">
        <v>362</v>
      </c>
    </row>
    <row r="25" spans="1:8" x14ac:dyDescent="0.2">
      <c r="A25" s="5" t="s">
        <v>213</v>
      </c>
      <c r="B25" s="75">
        <v>849</v>
      </c>
      <c r="C25" s="14" t="s">
        <v>360</v>
      </c>
      <c r="D25" s="14" t="s">
        <v>364</v>
      </c>
      <c r="E25" s="27">
        <f>'Reserves Data'!F34-B25</f>
        <v>0</v>
      </c>
      <c r="F25" s="27">
        <f>B25*'Sensitivities 1P'!$B$8</f>
        <v>849</v>
      </c>
      <c r="H25" s="2" t="s">
        <v>362</v>
      </c>
    </row>
    <row r="26" spans="1:8" x14ac:dyDescent="0.2">
      <c r="A26" s="5" t="s">
        <v>214</v>
      </c>
      <c r="B26" s="75">
        <v>7134</v>
      </c>
      <c r="C26" s="14" t="s">
        <v>360</v>
      </c>
      <c r="D26" s="14" t="s">
        <v>364</v>
      </c>
      <c r="E26" s="27">
        <f>'Reserves Data'!G34-B26</f>
        <v>0</v>
      </c>
      <c r="F26" s="27">
        <f>B26*'Sensitivities 1P'!$B$8</f>
        <v>7134</v>
      </c>
      <c r="H26" s="2" t="s">
        <v>362</v>
      </c>
    </row>
    <row r="27" spans="1:8" x14ac:dyDescent="0.2">
      <c r="A27" s="5" t="s">
        <v>215</v>
      </c>
      <c r="B27" s="75">
        <v>817</v>
      </c>
      <c r="C27" s="14" t="s">
        <v>360</v>
      </c>
      <c r="D27" s="14" t="s">
        <v>361</v>
      </c>
      <c r="E27" s="27">
        <f>'Reserves Data'!I34-B27</f>
        <v>0</v>
      </c>
      <c r="F27" s="27">
        <f>B27*'Sensitivities 1P'!$B$8</f>
        <v>817</v>
      </c>
      <c r="H27" s="2" t="s">
        <v>362</v>
      </c>
    </row>
    <row r="28" spans="1:8" x14ac:dyDescent="0.2">
      <c r="A28" s="5" t="s">
        <v>216</v>
      </c>
      <c r="B28" s="75">
        <v>18006</v>
      </c>
      <c r="C28" s="14" t="s">
        <v>365</v>
      </c>
      <c r="D28" s="14" t="s">
        <v>361</v>
      </c>
      <c r="E28" s="27">
        <f>'Reserves Data'!H34-B28</f>
        <v>0</v>
      </c>
      <c r="F28" s="27">
        <f>B28*'Sensitivities 1P'!$B$8</f>
        <v>18006</v>
      </c>
      <c r="H28" s="2" t="s">
        <v>362</v>
      </c>
    </row>
    <row r="29" spans="1:8" x14ac:dyDescent="0.2">
      <c r="A29" s="88" t="s">
        <v>366</v>
      </c>
      <c r="B29" s="68">
        <f>SUM(B21:B27)+B28/6</f>
        <v>15911</v>
      </c>
      <c r="E29" s="27">
        <f>'Reserves Data'!J34-B29</f>
        <v>-1</v>
      </c>
      <c r="F29" s="68">
        <f>SUM(F21:F27)+F28/6</f>
        <v>15911</v>
      </c>
      <c r="H29" s="2" t="s">
        <v>367</v>
      </c>
    </row>
    <row r="30" spans="1:8" ht="24" customHeight="1" x14ac:dyDescent="0.2">
      <c r="A30" s="3" t="s">
        <v>368</v>
      </c>
    </row>
    <row r="32" spans="1:8" ht="30" customHeight="1" x14ac:dyDescent="0.2">
      <c r="A32" s="85" t="s">
        <v>369</v>
      </c>
      <c r="B32" s="18"/>
      <c r="C32" s="18"/>
      <c r="D32" s="18"/>
      <c r="E32" s="18"/>
      <c r="F32" s="18"/>
      <c r="G32" s="18"/>
      <c r="H32" s="18"/>
    </row>
    <row r="33" spans="1:9" ht="30" customHeight="1" x14ac:dyDescent="0.2">
      <c r="A33" s="88" t="s">
        <v>357</v>
      </c>
      <c r="B33" s="88" t="s">
        <v>370</v>
      </c>
      <c r="C33" s="88" t="s">
        <v>371</v>
      </c>
      <c r="D33" s="88" t="s">
        <v>372</v>
      </c>
      <c r="E33" s="88" t="s">
        <v>373</v>
      </c>
      <c r="F33" s="88" t="s">
        <v>374</v>
      </c>
      <c r="G33" s="29" t="s">
        <v>375</v>
      </c>
      <c r="H33" s="2" t="s">
        <v>4</v>
      </c>
      <c r="I33" s="29" t="s">
        <v>376</v>
      </c>
    </row>
    <row r="34" spans="1:9" x14ac:dyDescent="0.2">
      <c r="A34" s="5" t="s">
        <v>377</v>
      </c>
      <c r="B34" s="65">
        <f>B21+B22+B23+B27+B28/6</f>
        <v>4598</v>
      </c>
      <c r="C34" s="75">
        <f>B147</f>
        <v>6992.333333333333</v>
      </c>
      <c r="D34" s="77">
        <v>32</v>
      </c>
      <c r="E34" s="61">
        <f>D34*B34/C34</f>
        <v>21.042475091767173</v>
      </c>
      <c r="F34" s="89">
        <f>ROUNDUP(E34/2,0)</f>
        <v>11</v>
      </c>
      <c r="G34" s="90">
        <f>E34*IF('Sensitivities 1P'!$B$9=0,'Sensitivities 1P'!$B$8,1)*IF($B$184=1,$B$185,1)</f>
        <v>21.719432092905713</v>
      </c>
      <c r="H34" s="49" t="s">
        <v>378</v>
      </c>
      <c r="I34" s="89">
        <f>ROUNDUP(G34/2,0)</f>
        <v>11</v>
      </c>
    </row>
    <row r="35" spans="1:9" x14ac:dyDescent="0.2">
      <c r="A35" s="5" t="s">
        <v>379</v>
      </c>
      <c r="B35" s="65">
        <f>B24</f>
        <v>3330</v>
      </c>
      <c r="C35" s="75">
        <v>5175</v>
      </c>
      <c r="D35" s="77">
        <v>56</v>
      </c>
      <c r="E35" s="61">
        <f>D35*B35/C35</f>
        <v>36.03478260869565</v>
      </c>
      <c r="F35" s="89">
        <f>ROUNDUP(E35/2,0)</f>
        <v>19</v>
      </c>
      <c r="G35" s="90">
        <f>E35*IF('Sensitivities 1P'!$B$9=0,'Sensitivities 1P'!$B$8,1)*IF($B$184=1,$B$185,1)</f>
        <v>37.194056803631298</v>
      </c>
      <c r="H35" s="2" t="s">
        <v>380</v>
      </c>
      <c r="I35" s="89">
        <f>ROUNDUP(G35/2,0)</f>
        <v>19</v>
      </c>
    </row>
    <row r="36" spans="1:9" x14ac:dyDescent="0.2">
      <c r="A36" s="5" t="s">
        <v>381</v>
      </c>
      <c r="B36" s="65">
        <f>B25+B26</f>
        <v>7983</v>
      </c>
      <c r="C36" s="75">
        <v>8583</v>
      </c>
      <c r="D36" s="77">
        <v>42</v>
      </c>
      <c r="E36" s="61">
        <f>D36*B36/C36</f>
        <v>39.063963649073749</v>
      </c>
      <c r="F36" s="89">
        <f>ROUNDUP(E36/2,0)</f>
        <v>20</v>
      </c>
      <c r="G36" s="90">
        <f>E36*IF('Sensitivities 1P'!$B$9=0,'Sensitivities 1P'!$B$8,1)*IF($B$184=1,$B$185,1)</f>
        <v>40.320689560314499</v>
      </c>
      <c r="H36" s="2" t="s">
        <v>380</v>
      </c>
      <c r="I36" s="89">
        <f>ROUNDUP(G36/2,0)</f>
        <v>21</v>
      </c>
    </row>
    <row r="37" spans="1:9" ht="30" customHeight="1" x14ac:dyDescent="0.2">
      <c r="A37" s="88" t="s">
        <v>382</v>
      </c>
      <c r="B37" s="91">
        <f>'Model Inputs'!F29/'NAV Model 1P'!C35</f>
        <v>31.871851122210764</v>
      </c>
      <c r="H37" s="2" t="s">
        <v>383</v>
      </c>
    </row>
    <row r="39" spans="1:9" ht="30" customHeight="1" x14ac:dyDescent="0.2">
      <c r="A39" s="85" t="s">
        <v>384</v>
      </c>
      <c r="B39" s="18"/>
      <c r="C39" s="18"/>
      <c r="D39" s="18"/>
      <c r="E39" s="18"/>
      <c r="F39" s="18"/>
      <c r="G39" s="18"/>
      <c r="H39" s="18"/>
    </row>
    <row r="40" spans="1:9" x14ac:dyDescent="0.2">
      <c r="A40" s="88" t="s">
        <v>385</v>
      </c>
      <c r="B40" s="88" t="s">
        <v>386</v>
      </c>
      <c r="C40" s="88" t="s">
        <v>387</v>
      </c>
      <c r="D40" s="88" t="s">
        <v>388</v>
      </c>
      <c r="E40" s="88" t="s">
        <v>389</v>
      </c>
      <c r="F40" s="88" t="s">
        <v>390</v>
      </c>
      <c r="H40" s="2" t="s">
        <v>4</v>
      </c>
    </row>
    <row r="41" spans="1:9" x14ac:dyDescent="0.2">
      <c r="A41" s="5" t="s">
        <v>181</v>
      </c>
      <c r="B41" s="37">
        <f t="shared" ref="B41:F46" si="0">CHOOSE($B$193,B198,B207)</f>
        <v>72.33</v>
      </c>
      <c r="C41" s="37">
        <f t="shared" si="0"/>
        <v>73.17</v>
      </c>
      <c r="D41" s="37">
        <f t="shared" si="0"/>
        <v>74.010000000000005</v>
      </c>
      <c r="E41" s="37">
        <f t="shared" si="0"/>
        <v>73.31</v>
      </c>
      <c r="F41" s="37">
        <f t="shared" si="0"/>
        <v>74.78</v>
      </c>
      <c r="H41" s="2" t="s">
        <v>391</v>
      </c>
    </row>
    <row r="42" spans="1:9" x14ac:dyDescent="0.2">
      <c r="A42" s="5" t="s">
        <v>182</v>
      </c>
      <c r="B42" s="41">
        <f t="shared" si="0"/>
        <v>0.7167</v>
      </c>
      <c r="C42" s="41">
        <f t="shared" si="0"/>
        <v>0.73</v>
      </c>
      <c r="D42" s="41">
        <f t="shared" si="0"/>
        <v>0.73670000000000002</v>
      </c>
      <c r="E42" s="41">
        <f t="shared" si="0"/>
        <v>0.73670000000000002</v>
      </c>
      <c r="F42" s="41">
        <f t="shared" si="0"/>
        <v>0.73670000000000002</v>
      </c>
      <c r="H42" s="2" t="s">
        <v>391</v>
      </c>
    </row>
    <row r="43" spans="1:9" x14ac:dyDescent="0.2">
      <c r="A43" s="5" t="s">
        <v>183</v>
      </c>
      <c r="B43" s="37">
        <f t="shared" si="0"/>
        <v>82.05</v>
      </c>
      <c r="C43" s="37">
        <f t="shared" si="0"/>
        <v>81.489999999999995</v>
      </c>
      <c r="D43" s="37">
        <f t="shared" si="0"/>
        <v>81.709999999999994</v>
      </c>
      <c r="E43" s="37">
        <f t="shared" si="0"/>
        <v>80.819999999999993</v>
      </c>
      <c r="F43" s="37">
        <f t="shared" si="0"/>
        <v>82.44</v>
      </c>
      <c r="H43" s="2" t="s">
        <v>391</v>
      </c>
    </row>
    <row r="44" spans="1:9" x14ac:dyDescent="0.2">
      <c r="A44" s="5" t="s">
        <v>392</v>
      </c>
      <c r="B44" s="37">
        <f t="shared" si="0"/>
        <v>96.85</v>
      </c>
      <c r="C44" s="37">
        <f t="shared" si="0"/>
        <v>95</v>
      </c>
      <c r="D44" s="37">
        <f t="shared" si="0"/>
        <v>95.24</v>
      </c>
      <c r="E44" s="37">
        <f t="shared" si="0"/>
        <v>94.16</v>
      </c>
      <c r="F44" s="37">
        <f t="shared" si="0"/>
        <v>96.05</v>
      </c>
      <c r="H44" s="2" t="s">
        <v>391</v>
      </c>
    </row>
    <row r="45" spans="1:9" x14ac:dyDescent="0.2">
      <c r="A45" s="5" t="s">
        <v>185</v>
      </c>
      <c r="B45" s="37">
        <f t="shared" si="0"/>
        <v>95.07</v>
      </c>
      <c r="C45" s="37">
        <f t="shared" si="0"/>
        <v>94.47</v>
      </c>
      <c r="D45" s="37">
        <f t="shared" si="0"/>
        <v>94.72</v>
      </c>
      <c r="E45" s="37">
        <f t="shared" si="0"/>
        <v>93.67</v>
      </c>
      <c r="F45" s="37">
        <f t="shared" si="0"/>
        <v>95.61</v>
      </c>
      <c r="H45" s="2" t="s">
        <v>391</v>
      </c>
    </row>
    <row r="46" spans="1:9" x14ac:dyDescent="0.2">
      <c r="A46" s="5" t="s">
        <v>186</v>
      </c>
      <c r="B46" s="37">
        <f t="shared" si="0"/>
        <v>2.16</v>
      </c>
      <c r="C46" s="37">
        <f t="shared" si="0"/>
        <v>2.75</v>
      </c>
      <c r="D46" s="37">
        <f t="shared" si="0"/>
        <v>3.12</v>
      </c>
      <c r="E46" s="37">
        <f t="shared" si="0"/>
        <v>3.43</v>
      </c>
      <c r="F46" s="37">
        <f t="shared" si="0"/>
        <v>3.5</v>
      </c>
      <c r="H46" s="2" t="s">
        <v>391</v>
      </c>
    </row>
    <row r="48" spans="1:9" ht="30" customHeight="1" x14ac:dyDescent="0.2">
      <c r="A48" s="85" t="s">
        <v>393</v>
      </c>
      <c r="B48" s="18"/>
      <c r="C48" s="18"/>
      <c r="D48" s="18"/>
      <c r="E48" s="18"/>
      <c r="F48" s="18"/>
      <c r="G48" s="18"/>
      <c r="H48" s="18"/>
    </row>
    <row r="49" spans="1:8" x14ac:dyDescent="0.2">
      <c r="A49" s="5" t="s">
        <v>394</v>
      </c>
      <c r="B49" s="37">
        <v>64.77</v>
      </c>
      <c r="H49" s="2" t="s">
        <v>395</v>
      </c>
    </row>
    <row r="50" spans="1:8" ht="24" customHeight="1" x14ac:dyDescent="0.2">
      <c r="A50" s="5" t="s">
        <v>396</v>
      </c>
      <c r="B50" s="37">
        <v>1.3979999999999999</v>
      </c>
      <c r="H50" s="2" t="s">
        <v>397</v>
      </c>
    </row>
    <row r="51" spans="1:8" x14ac:dyDescent="0.2">
      <c r="A51" s="5" t="s">
        <v>398</v>
      </c>
      <c r="B51" s="92">
        <f>B49*B50</f>
        <v>90.548459999999992</v>
      </c>
      <c r="H51" s="2" t="s">
        <v>399</v>
      </c>
    </row>
    <row r="52" spans="1:8" x14ac:dyDescent="0.2">
      <c r="A52" s="5" t="s">
        <v>400</v>
      </c>
      <c r="B52" s="37">
        <v>-11.1</v>
      </c>
      <c r="H52" s="2" t="s">
        <v>401</v>
      </c>
    </row>
    <row r="53" spans="1:8" x14ac:dyDescent="0.2">
      <c r="A53" s="5" t="s">
        <v>402</v>
      </c>
      <c r="B53" s="92">
        <f>(B49+B52)*B50</f>
        <v>75.030659999999983</v>
      </c>
      <c r="H53" s="2" t="s">
        <v>399</v>
      </c>
    </row>
    <row r="54" spans="1:8" ht="36" customHeight="1" x14ac:dyDescent="0.2">
      <c r="A54" s="5" t="s">
        <v>403</v>
      </c>
      <c r="B54" s="92">
        <f>B51+(B44-B41/B42)</f>
        <v>86.477572599413975</v>
      </c>
      <c r="H54" s="2" t="s">
        <v>404</v>
      </c>
    </row>
    <row r="55" spans="1:8" ht="24" customHeight="1" x14ac:dyDescent="0.2">
      <c r="A55" s="5" t="s">
        <v>405</v>
      </c>
      <c r="B55" s="92">
        <f>B51+(B45-B41/B42)</f>
        <v>84.697572599413974</v>
      </c>
      <c r="H55" s="2" t="s">
        <v>406</v>
      </c>
    </row>
    <row r="56" spans="1:8" x14ac:dyDescent="0.2">
      <c r="A56" s="5" t="s">
        <v>407</v>
      </c>
      <c r="B56" s="37">
        <v>1.76</v>
      </c>
      <c r="H56" s="2" t="s">
        <v>408</v>
      </c>
    </row>
    <row r="57" spans="1:8" x14ac:dyDescent="0.2">
      <c r="A57" s="5" t="s">
        <v>409</v>
      </c>
      <c r="B57" s="92">
        <f>B56*1.05506</f>
        <v>1.8569056000000002</v>
      </c>
      <c r="H57" s="2" t="s">
        <v>410</v>
      </c>
    </row>
    <row r="59" spans="1:8" ht="45" customHeight="1" x14ac:dyDescent="0.2">
      <c r="A59" s="85" t="s">
        <v>411</v>
      </c>
      <c r="B59" s="18"/>
      <c r="C59" s="18"/>
      <c r="D59" s="18"/>
      <c r="E59" s="18"/>
      <c r="F59" s="18"/>
      <c r="G59" s="18"/>
      <c r="H59" s="18"/>
    </row>
    <row r="60" spans="1:8" ht="45" customHeight="1" x14ac:dyDescent="0.2">
      <c r="A60" s="88" t="s">
        <v>354</v>
      </c>
      <c r="B60" s="88" t="s">
        <v>412</v>
      </c>
      <c r="C60" s="88" t="s">
        <v>413</v>
      </c>
      <c r="D60" s="88" t="s">
        <v>414</v>
      </c>
      <c r="E60" s="88" t="s">
        <v>415</v>
      </c>
      <c r="F60" s="88" t="s">
        <v>416</v>
      </c>
      <c r="G60" s="88" t="s">
        <v>417</v>
      </c>
      <c r="H60" s="2" t="s">
        <v>418</v>
      </c>
    </row>
    <row r="61" spans="1:8" x14ac:dyDescent="0.2">
      <c r="A61" s="5" t="s">
        <v>209</v>
      </c>
      <c r="B61" s="37">
        <v>87.45</v>
      </c>
      <c r="C61" s="37">
        <v>8.49</v>
      </c>
      <c r="D61" s="92">
        <f t="shared" ref="D61:D68" si="1">B61-C61</f>
        <v>78.960000000000008</v>
      </c>
      <c r="E61" s="92">
        <f>B54</f>
        <v>86.477572599413975</v>
      </c>
      <c r="F61" s="93">
        <f t="shared" ref="F61:F66" si="2">D61-E61</f>
        <v>-7.5175725994139668</v>
      </c>
      <c r="G61" s="14" t="s">
        <v>419</v>
      </c>
      <c r="H61" s="2" t="s">
        <v>420</v>
      </c>
    </row>
    <row r="62" spans="1:8" x14ac:dyDescent="0.2">
      <c r="A62" s="5" t="s">
        <v>210</v>
      </c>
      <c r="B62" s="37">
        <v>73.739999999999995</v>
      </c>
      <c r="C62" s="37">
        <v>5.47</v>
      </c>
      <c r="D62" s="92">
        <f t="shared" si="1"/>
        <v>68.27</v>
      </c>
      <c r="E62" s="92">
        <f>B53</f>
        <v>75.030659999999983</v>
      </c>
      <c r="F62" s="93">
        <f t="shared" si="2"/>
        <v>-6.7606599999999872</v>
      </c>
      <c r="G62" s="14" t="s">
        <v>419</v>
      </c>
      <c r="H62" s="2" t="s">
        <v>421</v>
      </c>
    </row>
    <row r="63" spans="1:8" x14ac:dyDescent="0.2">
      <c r="A63" s="5" t="s">
        <v>211</v>
      </c>
      <c r="B63" s="37">
        <v>75.069999999999993</v>
      </c>
      <c r="C63" s="37">
        <v>4.6399999999999997</v>
      </c>
      <c r="D63" s="92">
        <f t="shared" si="1"/>
        <v>70.429999999999993</v>
      </c>
      <c r="E63" s="92">
        <f>B53</f>
        <v>75.030659999999983</v>
      </c>
      <c r="F63" s="93">
        <f t="shared" si="2"/>
        <v>-4.6006599999999906</v>
      </c>
      <c r="G63" s="14" t="s">
        <v>419</v>
      </c>
      <c r="H63" s="2" t="s">
        <v>422</v>
      </c>
    </row>
    <row r="64" spans="1:8" x14ac:dyDescent="0.2">
      <c r="A64" s="5" t="s">
        <v>212</v>
      </c>
      <c r="B64" s="37">
        <v>72.42</v>
      </c>
      <c r="C64" s="37">
        <v>9.57</v>
      </c>
      <c r="D64" s="92">
        <f t="shared" si="1"/>
        <v>62.85</v>
      </c>
      <c r="E64" s="92">
        <f>B53</f>
        <v>75.030659999999983</v>
      </c>
      <c r="F64" s="93">
        <f t="shared" si="2"/>
        <v>-12.180659999999982</v>
      </c>
      <c r="G64" s="14" t="s">
        <v>419</v>
      </c>
      <c r="H64" s="2" t="s">
        <v>422</v>
      </c>
    </row>
    <row r="65" spans="1:8" x14ac:dyDescent="0.2">
      <c r="A65" s="5" t="s">
        <v>213</v>
      </c>
      <c r="B65" s="37">
        <v>53.16</v>
      </c>
      <c r="C65" s="37">
        <v>0.28000000000000003</v>
      </c>
      <c r="D65" s="92">
        <f t="shared" si="1"/>
        <v>52.879999999999995</v>
      </c>
      <c r="E65" s="92">
        <f>B53</f>
        <v>75.030659999999983</v>
      </c>
      <c r="F65" s="93">
        <f t="shared" si="2"/>
        <v>-22.150659999999988</v>
      </c>
      <c r="G65" s="14" t="s">
        <v>419</v>
      </c>
      <c r="H65" s="2" t="s">
        <v>423</v>
      </c>
    </row>
    <row r="66" spans="1:8" x14ac:dyDescent="0.2">
      <c r="A66" s="5" t="s">
        <v>214</v>
      </c>
      <c r="B66" s="37">
        <v>87.1</v>
      </c>
      <c r="C66" s="37">
        <v>3.37</v>
      </c>
      <c r="D66" s="92">
        <f t="shared" si="1"/>
        <v>83.72999999999999</v>
      </c>
      <c r="E66" s="92">
        <f>B54</f>
        <v>86.477572599413975</v>
      </c>
      <c r="F66" s="93">
        <f t="shared" si="2"/>
        <v>-2.747572599413985</v>
      </c>
      <c r="G66" s="14" t="s">
        <v>419</v>
      </c>
      <c r="H66" s="2" t="s">
        <v>424</v>
      </c>
    </row>
    <row r="67" spans="1:8" x14ac:dyDescent="0.2">
      <c r="A67" s="5" t="s">
        <v>215</v>
      </c>
      <c r="B67" s="37">
        <v>54.58</v>
      </c>
      <c r="C67" s="37">
        <v>2.4</v>
      </c>
      <c r="D67" s="92">
        <f t="shared" si="1"/>
        <v>52.18</v>
      </c>
      <c r="E67" s="92">
        <f>B55</f>
        <v>84.697572599413974</v>
      </c>
      <c r="F67" s="94">
        <f>D67/E67</f>
        <v>0.61607432655467909</v>
      </c>
      <c r="G67" s="14" t="s">
        <v>425</v>
      </c>
      <c r="H67" s="2" t="s">
        <v>426</v>
      </c>
    </row>
    <row r="68" spans="1:8" x14ac:dyDescent="0.2">
      <c r="A68" s="5" t="s">
        <v>216</v>
      </c>
      <c r="B68" s="37">
        <v>2.5099999999999998</v>
      </c>
      <c r="C68" s="37">
        <v>0.59</v>
      </c>
      <c r="D68" s="92">
        <f t="shared" si="1"/>
        <v>1.92</v>
      </c>
      <c r="E68" s="92">
        <f>B57</f>
        <v>1.8569056000000002</v>
      </c>
      <c r="F68" s="93">
        <f>D68-E68</f>
        <v>6.3094399999999773E-2</v>
      </c>
      <c r="G68" s="14" t="s">
        <v>419</v>
      </c>
      <c r="H68" s="2" t="s">
        <v>427</v>
      </c>
    </row>
    <row r="69" spans="1:8" ht="36" customHeight="1" x14ac:dyDescent="0.2">
      <c r="A69" s="3" t="s">
        <v>428</v>
      </c>
    </row>
    <row r="71" spans="1:8" ht="30" customHeight="1" x14ac:dyDescent="0.2">
      <c r="A71" s="85" t="s">
        <v>429</v>
      </c>
      <c r="B71" s="18"/>
      <c r="C71" s="18"/>
      <c r="D71" s="18"/>
      <c r="E71" s="18"/>
      <c r="F71" s="18"/>
      <c r="G71" s="18"/>
      <c r="H71" s="18"/>
    </row>
    <row r="72" spans="1:8" ht="30" customHeight="1" x14ac:dyDescent="0.2">
      <c r="A72" s="88" t="s">
        <v>354</v>
      </c>
      <c r="B72" s="88" t="s">
        <v>430</v>
      </c>
      <c r="C72" s="88" t="s">
        <v>431</v>
      </c>
      <c r="D72" s="88" t="s">
        <v>751</v>
      </c>
      <c r="E72" s="88" t="s">
        <v>432</v>
      </c>
      <c r="F72" s="88" t="s">
        <v>752</v>
      </c>
      <c r="H72" s="2" t="s">
        <v>433</v>
      </c>
    </row>
    <row r="73" spans="1:8" ht="24" customHeight="1" x14ac:dyDescent="0.2">
      <c r="A73" s="5" t="s">
        <v>209</v>
      </c>
      <c r="B73" s="37">
        <v>12.34</v>
      </c>
      <c r="C73" s="37">
        <v>85.05</v>
      </c>
      <c r="D73" s="87">
        <f>('Reserves Data'!B34-'Reserves Data'!B67)/'Reserves Data'!B34</f>
        <v>0.16828478964401294</v>
      </c>
      <c r="E73" s="37">
        <v>19.7</v>
      </c>
      <c r="F73" s="87">
        <f>('Reserves Data'!B36-'Reserves Data'!B69)/'Reserves Data'!B36</f>
        <v>0.18501170960187355</v>
      </c>
      <c r="H73" s="2" t="s">
        <v>753</v>
      </c>
    </row>
    <row r="74" spans="1:8" ht="24" customHeight="1" x14ac:dyDescent="0.2">
      <c r="A74" s="5" t="s">
        <v>210</v>
      </c>
      <c r="B74" s="37">
        <v>12.06</v>
      </c>
      <c r="C74" s="37">
        <v>73.739999999999995</v>
      </c>
      <c r="D74" s="87">
        <f>('Reserves Data'!C34-'Reserves Data'!C67)/'Reserves Data'!C34</f>
        <v>0.17543859649122806</v>
      </c>
      <c r="E74" s="37">
        <v>16.68</v>
      </c>
      <c r="F74" s="87">
        <f>('Reserves Data'!C36-'Reserves Data'!C69)/'Reserves Data'!C36</f>
        <v>0.18318318318318319</v>
      </c>
      <c r="H74" s="2" t="s">
        <v>434</v>
      </c>
    </row>
    <row r="75" spans="1:8" ht="24" customHeight="1" x14ac:dyDescent="0.2">
      <c r="A75" s="5" t="s">
        <v>211</v>
      </c>
      <c r="B75" s="37">
        <v>17.29</v>
      </c>
      <c r="C75" s="37">
        <v>75.069999999999993</v>
      </c>
      <c r="D75" s="87">
        <f>('Reserves Data'!D34-'Reserves Data'!D67)/'Reserves Data'!D34</f>
        <v>0.20576131687242799</v>
      </c>
      <c r="E75" s="37">
        <v>9.24</v>
      </c>
      <c r="F75" s="87">
        <f>('Reserves Data'!D36-'Reserves Data'!D69)/'Reserves Data'!D36</f>
        <v>0.22636103151862463</v>
      </c>
      <c r="H75" s="2" t="s">
        <v>434</v>
      </c>
    </row>
    <row r="76" spans="1:8" ht="24" customHeight="1" x14ac:dyDescent="0.2">
      <c r="A76" s="5" t="s">
        <v>212</v>
      </c>
      <c r="B76" s="37">
        <v>13.5</v>
      </c>
      <c r="C76" s="37">
        <v>72.42</v>
      </c>
      <c r="D76" s="87">
        <f>('Reserves Data'!E34-'Reserves Data'!E67)/'Reserves Data'!E34</f>
        <v>0.24324324324324326</v>
      </c>
      <c r="E76" s="37">
        <v>11.09</v>
      </c>
      <c r="F76" s="87">
        <f>('Reserves Data'!E36-'Reserves Data'!E69)/'Reserves Data'!E36</f>
        <v>0.24811594202898551</v>
      </c>
      <c r="H76" s="2" t="s">
        <v>434</v>
      </c>
    </row>
    <row r="77" spans="1:8" ht="24" customHeight="1" x14ac:dyDescent="0.2">
      <c r="A77" s="5" t="s">
        <v>213</v>
      </c>
      <c r="B77" s="37">
        <v>13</v>
      </c>
      <c r="C77" s="37">
        <v>53.16</v>
      </c>
      <c r="D77" s="87">
        <f>('Reserves Data'!F34-'Reserves Data'!F67)/'Reserves Data'!F34</f>
        <v>0.23085983510011779</v>
      </c>
      <c r="E77" s="37">
        <v>17.95</v>
      </c>
      <c r="F77" s="87">
        <f>('Reserves Data'!F36-'Reserves Data'!F69)/'Reserves Data'!F36</f>
        <v>0.23575418994413408</v>
      </c>
      <c r="H77" s="2" t="s">
        <v>434</v>
      </c>
    </row>
    <row r="78" spans="1:8" ht="24" customHeight="1" x14ac:dyDescent="0.2">
      <c r="A78" s="5" t="s">
        <v>214</v>
      </c>
      <c r="B78" s="37">
        <v>13.86</v>
      </c>
      <c r="C78" s="37">
        <v>87.1</v>
      </c>
      <c r="D78" s="87">
        <f>('Reserves Data'!G34-'Reserves Data'!G67)/'Reserves Data'!G34</f>
        <v>0.17633865993832351</v>
      </c>
      <c r="E78" s="37">
        <v>22.76</v>
      </c>
      <c r="F78" s="87">
        <f>('Reserves Data'!G36-'Reserves Data'!G69)/'Reserves Data'!G36</f>
        <v>0.17859001040582725</v>
      </c>
      <c r="H78" s="2" t="s">
        <v>434</v>
      </c>
    </row>
    <row r="79" spans="1:8" ht="24" customHeight="1" x14ac:dyDescent="0.2">
      <c r="A79" s="5" t="s">
        <v>215</v>
      </c>
      <c r="B79" s="37">
        <v>4.3499999999999996</v>
      </c>
      <c r="C79" s="37">
        <v>54.58</v>
      </c>
      <c r="D79" s="87">
        <f>('Reserves Data'!I34-'Reserves Data'!I67)/'Reserves Data'!I34</f>
        <v>0.20685434516523868</v>
      </c>
      <c r="E79" s="37">
        <v>8.15</v>
      </c>
      <c r="F79" s="87">
        <f>('Reserves Data'!I36-'Reserves Data'!I69)/'Reserves Data'!I36</f>
        <v>0.23095823095823095</v>
      </c>
      <c r="H79" s="2" t="s">
        <v>434</v>
      </c>
    </row>
    <row r="80" spans="1:8" ht="24" customHeight="1" x14ac:dyDescent="0.2">
      <c r="A80" s="5" t="s">
        <v>216</v>
      </c>
      <c r="B80" s="37">
        <v>0.08</v>
      </c>
      <c r="C80" s="37">
        <v>2.4700000000000002</v>
      </c>
      <c r="D80" s="87">
        <f>('Reserves Data'!H34-'Reserves Data'!H67)/'Reserves Data'!H34</f>
        <v>0.11362879040319894</v>
      </c>
      <c r="E80" s="37">
        <v>1.1100000000000001</v>
      </c>
      <c r="F80" s="87">
        <f>('Reserves Data'!H36-'Reserves Data'!H69)/'Reserves Data'!H36</f>
        <v>0.12515192678916137</v>
      </c>
      <c r="H80" s="2" t="s">
        <v>434</v>
      </c>
    </row>
    <row r="82" spans="1:8" ht="30" customHeight="1" x14ac:dyDescent="0.2">
      <c r="A82" s="85" t="s">
        <v>435</v>
      </c>
      <c r="B82" s="18"/>
      <c r="C82" s="18"/>
      <c r="D82" s="18"/>
      <c r="E82" s="18"/>
      <c r="F82" s="18"/>
      <c r="G82" s="18"/>
      <c r="H82" s="18"/>
    </row>
    <row r="83" spans="1:8" x14ac:dyDescent="0.2">
      <c r="A83" s="88" t="s">
        <v>436</v>
      </c>
      <c r="B83" s="88" t="s">
        <v>386</v>
      </c>
      <c r="C83" s="88" t="s">
        <v>387</v>
      </c>
      <c r="D83" s="88" t="s">
        <v>388</v>
      </c>
      <c r="E83" s="88" t="s">
        <v>389</v>
      </c>
      <c r="F83" s="88" t="s">
        <v>390</v>
      </c>
      <c r="G83" s="88" t="s">
        <v>437</v>
      </c>
      <c r="H83" s="2" t="s">
        <v>4</v>
      </c>
    </row>
    <row r="84" spans="1:8" x14ac:dyDescent="0.2">
      <c r="A84" s="5" t="s">
        <v>438</v>
      </c>
      <c r="B84" s="75">
        <f>'Cost Data'!B27</f>
        <v>4980</v>
      </c>
      <c r="C84" s="75">
        <f>'Cost Data'!C27</f>
        <v>5300</v>
      </c>
      <c r="D84" s="75">
        <f>'Cost Data'!D27</f>
        <v>5392</v>
      </c>
      <c r="E84" s="75">
        <f>'Cost Data'!E27</f>
        <v>5932</v>
      </c>
      <c r="F84" s="75">
        <f>'Cost Data'!F27</f>
        <v>5457</v>
      </c>
      <c r="G84" s="75">
        <f>'Cost Data'!G27</f>
        <v>79014</v>
      </c>
      <c r="H84" s="2" t="s">
        <v>439</v>
      </c>
    </row>
    <row r="85" spans="1:8" ht="24" customHeight="1" x14ac:dyDescent="0.2">
      <c r="A85" s="5" t="s">
        <v>440</v>
      </c>
      <c r="B85" s="75">
        <f>'Cost Data'!F13+'Cost Data'!F15</f>
        <v>23869</v>
      </c>
      <c r="H85" s="2" t="s">
        <v>441</v>
      </c>
    </row>
    <row r="86" spans="1:8" ht="28" customHeight="1" x14ac:dyDescent="0.2">
      <c r="A86" s="5" t="s">
        <v>442</v>
      </c>
      <c r="B86" s="95" t="s">
        <v>443</v>
      </c>
      <c r="H86" s="2" t="s">
        <v>444</v>
      </c>
    </row>
    <row r="87" spans="1:8" ht="30" customHeight="1" x14ac:dyDescent="0.2">
      <c r="A87" s="85" t="s">
        <v>445</v>
      </c>
      <c r="B87" s="18"/>
      <c r="C87" s="18"/>
      <c r="D87" s="18"/>
      <c r="E87" s="18"/>
      <c r="F87" s="18"/>
      <c r="G87" s="18"/>
      <c r="H87" s="18"/>
    </row>
    <row r="88" spans="1:8" x14ac:dyDescent="0.2">
      <c r="A88" s="5" t="s">
        <v>446</v>
      </c>
      <c r="B88" s="75">
        <f>'Cost Data'!F16</f>
        <v>631994</v>
      </c>
      <c r="H88" s="2" t="s">
        <v>447</v>
      </c>
    </row>
    <row r="89" spans="1:8" x14ac:dyDescent="0.2">
      <c r="A89" s="5" t="s">
        <v>242</v>
      </c>
      <c r="B89" s="75">
        <f>'Cost Data'!F9</f>
        <v>1519855</v>
      </c>
      <c r="H89" s="2" t="s">
        <v>447</v>
      </c>
    </row>
    <row r="90" spans="1:8" x14ac:dyDescent="0.2">
      <c r="A90" s="5" t="s">
        <v>248</v>
      </c>
      <c r="B90" s="75">
        <f>'Cost Data'!F17</f>
        <v>141852</v>
      </c>
      <c r="H90" s="2" t="s">
        <v>447</v>
      </c>
    </row>
    <row r="91" spans="1:8" x14ac:dyDescent="0.2">
      <c r="A91" s="5" t="s">
        <v>243</v>
      </c>
      <c r="B91" s="75">
        <f>'Cost Data'!F10</f>
        <v>285561</v>
      </c>
      <c r="H91" s="2" t="s">
        <v>447</v>
      </c>
    </row>
    <row r="92" spans="1:8" x14ac:dyDescent="0.2">
      <c r="A92" s="5" t="s">
        <v>244</v>
      </c>
      <c r="B92" s="75">
        <f>'Cost Data'!F11</f>
        <v>472357</v>
      </c>
      <c r="H92" s="2" t="s">
        <v>447</v>
      </c>
    </row>
    <row r="93" spans="1:8" x14ac:dyDescent="0.2">
      <c r="A93" s="5" t="s">
        <v>448</v>
      </c>
      <c r="B93" s="75">
        <f>'Cost Data'!F12</f>
        <v>106074</v>
      </c>
      <c r="H93" s="2" t="s">
        <v>447</v>
      </c>
    </row>
    <row r="94" spans="1:8" x14ac:dyDescent="0.2">
      <c r="A94" s="5" t="s">
        <v>449</v>
      </c>
      <c r="B94" s="75">
        <f>'Cost Data'!F13+'Cost Data'!F15</f>
        <v>23869</v>
      </c>
      <c r="H94" s="2" t="s">
        <v>447</v>
      </c>
    </row>
    <row r="95" spans="1:8" x14ac:dyDescent="0.2">
      <c r="A95" s="5" t="s">
        <v>450</v>
      </c>
      <c r="B95" s="75">
        <f>'Cost Data'!F18</f>
        <v>490142</v>
      </c>
      <c r="H95" s="2" t="s">
        <v>447</v>
      </c>
    </row>
    <row r="96" spans="1:8" x14ac:dyDescent="0.2">
      <c r="A96" s="5" t="s">
        <v>250</v>
      </c>
      <c r="B96" s="75">
        <v>157781</v>
      </c>
      <c r="H96" s="2" t="s">
        <v>447</v>
      </c>
    </row>
    <row r="97" spans="1:8" x14ac:dyDescent="0.2">
      <c r="A97" s="5" t="s">
        <v>251</v>
      </c>
      <c r="B97" s="75">
        <v>122466</v>
      </c>
      <c r="H97" s="2" t="s">
        <v>447</v>
      </c>
    </row>
    <row r="99" spans="1:8" ht="30" customHeight="1" x14ac:dyDescent="0.2">
      <c r="A99" s="85" t="s">
        <v>451</v>
      </c>
      <c r="B99" s="18"/>
      <c r="C99" s="18"/>
      <c r="D99" s="18"/>
      <c r="E99" s="18"/>
      <c r="F99" s="18"/>
      <c r="G99" s="18"/>
      <c r="H99" s="18"/>
    </row>
    <row r="100" spans="1:8" x14ac:dyDescent="0.2">
      <c r="A100" s="5" t="s">
        <v>452</v>
      </c>
      <c r="B100" s="75">
        <v>91</v>
      </c>
      <c r="H100" s="2" t="s">
        <v>453</v>
      </c>
    </row>
    <row r="101" spans="1:8" x14ac:dyDescent="0.2">
      <c r="A101" s="5" t="s">
        <v>454</v>
      </c>
      <c r="B101" s="75">
        <v>22</v>
      </c>
      <c r="H101" s="2" t="s">
        <v>455</v>
      </c>
    </row>
    <row r="102" spans="1:8" x14ac:dyDescent="0.2">
      <c r="A102" s="5" t="s">
        <v>456</v>
      </c>
      <c r="B102" s="65">
        <f>B100-B101</f>
        <v>69</v>
      </c>
    </row>
    <row r="103" spans="1:8" x14ac:dyDescent="0.2">
      <c r="A103" s="5" t="s">
        <v>457</v>
      </c>
      <c r="B103" s="96">
        <v>10</v>
      </c>
      <c r="H103" s="2" t="s">
        <v>458</v>
      </c>
    </row>
    <row r="104" spans="1:8" x14ac:dyDescent="0.2">
      <c r="A104" s="88" t="s">
        <v>459</v>
      </c>
      <c r="B104" s="68">
        <f>B102*B103</f>
        <v>690</v>
      </c>
    </row>
    <row r="105" spans="1:8" ht="24" customHeight="1" x14ac:dyDescent="0.2">
      <c r="A105" s="5" t="s">
        <v>460</v>
      </c>
      <c r="B105" s="75">
        <v>0</v>
      </c>
      <c r="H105" s="2" t="s">
        <v>461</v>
      </c>
    </row>
    <row r="106" spans="1:8" ht="30" customHeight="1" x14ac:dyDescent="0.2">
      <c r="A106" s="88" t="s">
        <v>462</v>
      </c>
    </row>
    <row r="107" spans="1:8" x14ac:dyDescent="0.2">
      <c r="A107" s="5" t="s">
        <v>177</v>
      </c>
      <c r="B107" s="29" t="s">
        <v>386</v>
      </c>
      <c r="C107" s="29" t="s">
        <v>387</v>
      </c>
      <c r="D107" s="29" t="s">
        <v>388</v>
      </c>
      <c r="E107" s="29" t="s">
        <v>389</v>
      </c>
      <c r="F107" s="29" t="s">
        <v>390</v>
      </c>
      <c r="G107" s="29" t="s">
        <v>463</v>
      </c>
    </row>
    <row r="108" spans="1:8" ht="24" customHeight="1" x14ac:dyDescent="0.2">
      <c r="A108" s="5" t="s">
        <v>464</v>
      </c>
      <c r="B108" s="75">
        <v>116</v>
      </c>
      <c r="C108" s="75">
        <v>95</v>
      </c>
      <c r="D108" s="75">
        <v>96</v>
      </c>
      <c r="E108" s="75">
        <v>95</v>
      </c>
      <c r="F108" s="75">
        <v>95</v>
      </c>
      <c r="G108" s="65">
        <f>3878/28</f>
        <v>138.5</v>
      </c>
      <c r="H108" s="2" t="s">
        <v>465</v>
      </c>
    </row>
    <row r="109" spans="1:8" ht="24" customHeight="1" x14ac:dyDescent="0.2">
      <c r="A109" s="5" t="s">
        <v>466</v>
      </c>
      <c r="B109" s="39">
        <v>0.05</v>
      </c>
      <c r="H109" s="2" t="s">
        <v>467</v>
      </c>
    </row>
    <row r="110" spans="1:8" x14ac:dyDescent="0.2">
      <c r="A110" s="88" t="s">
        <v>468</v>
      </c>
      <c r="B110" s="68">
        <f>B108/(1+B109)^1+C108/(1+B109)^2+D108/(1+B109)^3+E108/(1+B109)^4+F108/(1+B109)^5+G108*(1-(1+B109)^-28)/B109/(1+B109)^5</f>
        <v>2048.884667730721</v>
      </c>
      <c r="H110" s="2" t="s">
        <v>469</v>
      </c>
    </row>
    <row r="111" spans="1:8" x14ac:dyDescent="0.2">
      <c r="A111" s="88" t="s">
        <v>470</v>
      </c>
      <c r="B111" s="68">
        <f>B104+B105-B110</f>
        <v>-1358.884667730721</v>
      </c>
    </row>
    <row r="113" spans="1:8" x14ac:dyDescent="0.2">
      <c r="A113" s="85" t="s">
        <v>471</v>
      </c>
      <c r="B113" s="18"/>
      <c r="C113" s="18"/>
      <c r="D113" s="18"/>
      <c r="E113" s="18"/>
      <c r="F113" s="18"/>
      <c r="G113" s="18"/>
      <c r="H113" s="18"/>
    </row>
    <row r="114" spans="1:8" x14ac:dyDescent="0.2">
      <c r="A114" s="5" t="s">
        <v>472</v>
      </c>
      <c r="B114" s="75">
        <v>9743</v>
      </c>
      <c r="H114" s="2" t="s">
        <v>473</v>
      </c>
    </row>
    <row r="115" spans="1:8" ht="48" x14ac:dyDescent="0.2">
      <c r="A115" s="5" t="s">
        <v>474</v>
      </c>
      <c r="B115" s="39">
        <v>0.17</v>
      </c>
      <c r="H115" s="2" t="s">
        <v>475</v>
      </c>
    </row>
    <row r="116" spans="1:8" x14ac:dyDescent="0.2">
      <c r="A116" s="88" t="s">
        <v>476</v>
      </c>
      <c r="B116" s="68">
        <f>B114*B115</f>
        <v>1656.3100000000002</v>
      </c>
    </row>
    <row r="117" spans="1:8" ht="48" customHeight="1" x14ac:dyDescent="0.2">
      <c r="A117" s="3" t="s">
        <v>477</v>
      </c>
    </row>
    <row r="119" spans="1:8" ht="30" customHeight="1" x14ac:dyDescent="0.2">
      <c r="A119" s="85" t="s">
        <v>478</v>
      </c>
      <c r="B119" s="18"/>
      <c r="C119" s="18"/>
      <c r="D119" s="18"/>
      <c r="E119" s="18"/>
      <c r="F119" s="18"/>
      <c r="G119" s="18"/>
      <c r="H119" s="18"/>
    </row>
    <row r="120" spans="1:8" x14ac:dyDescent="0.2">
      <c r="A120" s="5" t="s">
        <v>479</v>
      </c>
      <c r="B120" s="75">
        <v>615</v>
      </c>
      <c r="H120" s="2" t="s">
        <v>480</v>
      </c>
    </row>
    <row r="121" spans="1:8" x14ac:dyDescent="0.2">
      <c r="A121" s="5" t="s">
        <v>481</v>
      </c>
      <c r="B121" s="75">
        <v>180</v>
      </c>
      <c r="H121" s="2" t="s">
        <v>480</v>
      </c>
    </row>
    <row r="122" spans="1:8" x14ac:dyDescent="0.2">
      <c r="A122" s="5" t="s">
        <v>482</v>
      </c>
      <c r="B122" s="65">
        <f>B120+B121</f>
        <v>795</v>
      </c>
    </row>
    <row r="123" spans="1:8" ht="36" x14ac:dyDescent="0.2">
      <c r="A123" s="5" t="s">
        <v>483</v>
      </c>
      <c r="B123" s="89">
        <f>ROUND(B37,0)</f>
        <v>32</v>
      </c>
      <c r="H123" s="2" t="s">
        <v>484</v>
      </c>
    </row>
    <row r="124" spans="1:8" x14ac:dyDescent="0.2">
      <c r="A124" s="5" t="s">
        <v>485</v>
      </c>
      <c r="B124" s="87">
        <f>B9</f>
        <v>0.02</v>
      </c>
      <c r="H124" s="2" t="s">
        <v>486</v>
      </c>
    </row>
    <row r="125" spans="1:8" x14ac:dyDescent="0.2">
      <c r="A125" s="5" t="s">
        <v>46</v>
      </c>
      <c r="B125" s="87">
        <f>B6</f>
        <v>0.1</v>
      </c>
      <c r="H125" s="2" t="s">
        <v>487</v>
      </c>
    </row>
    <row r="126" spans="1:8" x14ac:dyDescent="0.2">
      <c r="A126" s="5" t="s">
        <v>488</v>
      </c>
      <c r="B126" s="87">
        <f>B11</f>
        <v>0.22445149795725908</v>
      </c>
    </row>
    <row r="127" spans="1:8" x14ac:dyDescent="0.2">
      <c r="A127" s="88" t="s">
        <v>489</v>
      </c>
      <c r="B127" s="68">
        <f>B122*(1+B124)*(1-((1+B124)/(1+B125))^B123)/(B125-B124)*(1-B126)</f>
        <v>7159.4949110842726</v>
      </c>
    </row>
    <row r="130" spans="1:8" x14ac:dyDescent="0.2">
      <c r="A130" s="85" t="s">
        <v>490</v>
      </c>
    </row>
    <row r="131" spans="1:8" ht="36" customHeight="1" x14ac:dyDescent="0.2">
      <c r="A131" s="2" t="s">
        <v>491</v>
      </c>
    </row>
    <row r="133" spans="1:8" ht="30" customHeight="1" x14ac:dyDescent="0.2">
      <c r="A133" s="88" t="s">
        <v>492</v>
      </c>
    </row>
    <row r="134" spans="1:8" ht="60" customHeight="1" x14ac:dyDescent="0.2">
      <c r="A134" s="88" t="s">
        <v>354</v>
      </c>
      <c r="B134" s="88" t="s">
        <v>355</v>
      </c>
      <c r="C134" s="88" t="s">
        <v>356</v>
      </c>
      <c r="D134" s="88" t="s">
        <v>357</v>
      </c>
      <c r="E134" s="88" t="s">
        <v>493</v>
      </c>
      <c r="F134" s="88" t="s">
        <v>359</v>
      </c>
      <c r="H134" s="88" t="s">
        <v>4</v>
      </c>
    </row>
    <row r="135" spans="1:8" x14ac:dyDescent="0.2">
      <c r="A135" s="5" t="s">
        <v>209</v>
      </c>
      <c r="B135" s="106">
        <v>427</v>
      </c>
      <c r="C135" s="5" t="s">
        <v>360</v>
      </c>
      <c r="D135" s="5" t="s">
        <v>361</v>
      </c>
      <c r="E135" s="107">
        <f>'Reserves Data'!B36-B135</f>
        <v>0</v>
      </c>
      <c r="F135" s="107">
        <f>B135*'Sensitivities 2P'!$B$8</f>
        <v>427</v>
      </c>
      <c r="H135" s="2" t="s">
        <v>494</v>
      </c>
    </row>
    <row r="136" spans="1:8" x14ac:dyDescent="0.2">
      <c r="A136" s="5" t="s">
        <v>210</v>
      </c>
      <c r="B136" s="106">
        <v>333</v>
      </c>
      <c r="C136" s="5" t="s">
        <v>360</v>
      </c>
      <c r="D136" s="5" t="s">
        <v>361</v>
      </c>
      <c r="E136" s="107">
        <f>'Reserves Data'!C36-B136</f>
        <v>0</v>
      </c>
      <c r="F136" s="107">
        <f>B136*'Sensitivities 2P'!$B$8</f>
        <v>333</v>
      </c>
      <c r="H136" s="2" t="s">
        <v>494</v>
      </c>
    </row>
    <row r="137" spans="1:8" x14ac:dyDescent="0.2">
      <c r="A137" s="5" t="s">
        <v>211</v>
      </c>
      <c r="B137" s="106">
        <v>349</v>
      </c>
      <c r="C137" s="5" t="s">
        <v>360</v>
      </c>
      <c r="D137" s="5" t="s">
        <v>361</v>
      </c>
      <c r="E137" s="107">
        <f>'Reserves Data'!D36-B137</f>
        <v>0</v>
      </c>
      <c r="F137" s="107">
        <f>B137*'Sensitivities 2P'!$B$8</f>
        <v>349</v>
      </c>
      <c r="H137" s="2" t="s">
        <v>494</v>
      </c>
    </row>
    <row r="138" spans="1:8" x14ac:dyDescent="0.2">
      <c r="A138" s="5" t="s">
        <v>212</v>
      </c>
      <c r="B138" s="106">
        <v>5175</v>
      </c>
      <c r="C138" s="5" t="s">
        <v>360</v>
      </c>
      <c r="D138" s="5" t="s">
        <v>363</v>
      </c>
      <c r="E138" s="107">
        <f>'Reserves Data'!E36-B138</f>
        <v>0</v>
      </c>
      <c r="F138" s="107">
        <f>B138*'Sensitivities 2P'!$B$8</f>
        <v>5175</v>
      </c>
      <c r="H138" s="2" t="s">
        <v>494</v>
      </c>
    </row>
    <row r="139" spans="1:8" x14ac:dyDescent="0.2">
      <c r="A139" s="5" t="s">
        <v>213</v>
      </c>
      <c r="B139" s="106">
        <v>895</v>
      </c>
      <c r="C139" s="5" t="s">
        <v>360</v>
      </c>
      <c r="D139" s="5" t="s">
        <v>364</v>
      </c>
      <c r="E139" s="107">
        <f>'Reserves Data'!F36-B139</f>
        <v>0</v>
      </c>
      <c r="F139" s="107">
        <f>B139*'Sensitivities 2P'!$B$8</f>
        <v>895</v>
      </c>
      <c r="H139" s="2" t="s">
        <v>494</v>
      </c>
    </row>
    <row r="140" spans="1:8" x14ac:dyDescent="0.2">
      <c r="A140" s="5" t="s">
        <v>214</v>
      </c>
      <c r="B140" s="106">
        <v>7688</v>
      </c>
      <c r="C140" s="5" t="s">
        <v>360</v>
      </c>
      <c r="D140" s="5" t="s">
        <v>364</v>
      </c>
      <c r="E140" s="107">
        <f>'Reserves Data'!G36-B140</f>
        <v>0</v>
      </c>
      <c r="F140" s="107">
        <f>B140*'Sensitivities 2P'!$B$8</f>
        <v>7688</v>
      </c>
      <c r="H140" s="2" t="s">
        <v>494</v>
      </c>
    </row>
    <row r="141" spans="1:8" x14ac:dyDescent="0.2">
      <c r="A141" s="5" t="s">
        <v>215</v>
      </c>
      <c r="B141" s="106">
        <v>1221</v>
      </c>
      <c r="C141" s="5" t="s">
        <v>360</v>
      </c>
      <c r="D141" s="5" t="s">
        <v>361</v>
      </c>
      <c r="E141" s="107">
        <f>'Reserves Data'!I36-B141</f>
        <v>0</v>
      </c>
      <c r="F141" s="107">
        <f>B141*'Sensitivities 2P'!$B$8</f>
        <v>1221</v>
      </c>
      <c r="H141" s="2" t="s">
        <v>494</v>
      </c>
    </row>
    <row r="142" spans="1:8" x14ac:dyDescent="0.2">
      <c r="A142" s="5" t="s">
        <v>216</v>
      </c>
      <c r="B142" s="106">
        <v>27974</v>
      </c>
      <c r="C142" s="5" t="s">
        <v>365</v>
      </c>
      <c r="D142" s="5" t="s">
        <v>361</v>
      </c>
      <c r="E142" s="107">
        <f>'Reserves Data'!H36-B142</f>
        <v>0</v>
      </c>
      <c r="F142" s="107">
        <f>B142*'Sensitivities 2P'!$B$8</f>
        <v>27974</v>
      </c>
      <c r="H142" s="2" t="s">
        <v>494</v>
      </c>
    </row>
    <row r="143" spans="1:8" x14ac:dyDescent="0.2">
      <c r="A143" s="5" t="s">
        <v>495</v>
      </c>
      <c r="B143" s="107">
        <f>SUM(B135:B141)+B142/6</f>
        <v>20750.333333333332</v>
      </c>
      <c r="E143" s="107">
        <f>'Reserves Data'!J36-B143</f>
        <v>-0.33333333333212067</v>
      </c>
      <c r="F143" s="107">
        <f>SUM(F135:F141)+F142/6</f>
        <v>20750.333333333332</v>
      </c>
      <c r="H143" s="2" t="s">
        <v>496</v>
      </c>
    </row>
    <row r="145" spans="1:8" ht="30" customHeight="1" x14ac:dyDescent="0.2">
      <c r="A145" s="88" t="s">
        <v>497</v>
      </c>
    </row>
    <row r="146" spans="1:8" ht="30" customHeight="1" x14ac:dyDescent="0.2">
      <c r="A146" s="88" t="s">
        <v>357</v>
      </c>
      <c r="B146" s="88" t="s">
        <v>371</v>
      </c>
      <c r="C146" s="88" t="s">
        <v>372</v>
      </c>
      <c r="D146" s="88" t="s">
        <v>374</v>
      </c>
      <c r="E146" s="88" t="s">
        <v>498</v>
      </c>
      <c r="F146" s="88" t="s">
        <v>376</v>
      </c>
      <c r="H146" s="88" t="s">
        <v>4</v>
      </c>
    </row>
    <row r="147" spans="1:8" x14ac:dyDescent="0.2">
      <c r="A147" s="5" t="s">
        <v>377</v>
      </c>
      <c r="B147" s="107">
        <f>B135+B136+B137+B141+B142/6</f>
        <v>6992.333333333333</v>
      </c>
      <c r="C147" s="108">
        <v>32</v>
      </c>
      <c r="D147" s="97">
        <f>ROUNDUP(C147/2,0)</f>
        <v>16</v>
      </c>
      <c r="E147" s="109">
        <f>C147*IF('Sensitivities 2P'!$B$9=0,'Sensitivities 2P'!$B$8,1)*IF($B$184=1,$B$186,1)</f>
        <v>27.9782500064</v>
      </c>
      <c r="F147" s="97">
        <f>ROUNDUP(E147/2,0)</f>
        <v>14</v>
      </c>
      <c r="H147" s="2" t="s">
        <v>499</v>
      </c>
    </row>
    <row r="148" spans="1:8" x14ac:dyDescent="0.2">
      <c r="A148" s="5" t="s">
        <v>379</v>
      </c>
      <c r="B148" s="107">
        <f>B138</f>
        <v>5175</v>
      </c>
      <c r="C148" s="108">
        <v>56</v>
      </c>
      <c r="D148" s="97">
        <f>ROUNDUP(C148/2,0)</f>
        <v>28</v>
      </c>
      <c r="E148" s="109">
        <f>C148*IF('Sensitivities 2P'!$B$9=0,'Sensitivities 2P'!$B$8,1)*IF($B$184=1,$B$186,1)</f>
        <v>48.961937511199999</v>
      </c>
      <c r="F148" s="97">
        <f>ROUNDUP(E148/2,0)</f>
        <v>25</v>
      </c>
      <c r="H148" s="2" t="s">
        <v>499</v>
      </c>
    </row>
    <row r="149" spans="1:8" x14ac:dyDescent="0.2">
      <c r="A149" s="5" t="s">
        <v>381</v>
      </c>
      <c r="B149" s="107">
        <f>B139+B140</f>
        <v>8583</v>
      </c>
      <c r="C149" s="108">
        <v>42</v>
      </c>
      <c r="D149" s="97">
        <f>ROUNDUP(C149/2,0)</f>
        <v>21</v>
      </c>
      <c r="E149" s="109">
        <f>C149*IF('Sensitivities 2P'!$B$9=0,'Sensitivities 2P'!$B$8,1)*IF($B$184=1,$B$186,1)</f>
        <v>36.721453133399997</v>
      </c>
      <c r="F149" s="97">
        <f>ROUNDUP(E149/2,0)</f>
        <v>19</v>
      </c>
      <c r="H149" s="2" t="s">
        <v>499</v>
      </c>
    </row>
    <row r="150" spans="1:8" ht="28" customHeight="1" x14ac:dyDescent="0.2">
      <c r="A150" s="5" t="s">
        <v>500</v>
      </c>
      <c r="B150" s="109">
        <f>F143/'NAV Model 2P'!C35</f>
        <v>35.209010064599987</v>
      </c>
      <c r="H150" s="2" t="s">
        <v>501</v>
      </c>
    </row>
    <row r="152" spans="1:8" ht="30" customHeight="1" x14ac:dyDescent="0.2">
      <c r="A152" s="88" t="s">
        <v>502</v>
      </c>
    </row>
    <row r="153" spans="1:8" x14ac:dyDescent="0.2">
      <c r="A153" s="88" t="s">
        <v>436</v>
      </c>
      <c r="B153" s="88" t="s">
        <v>386</v>
      </c>
      <c r="C153" s="88" t="s">
        <v>387</v>
      </c>
      <c r="D153" s="88" t="s">
        <v>388</v>
      </c>
      <c r="E153" s="88" t="s">
        <v>389</v>
      </c>
      <c r="F153" s="88" t="s">
        <v>390</v>
      </c>
      <c r="G153" s="88" t="s">
        <v>437</v>
      </c>
      <c r="H153" s="88" t="s">
        <v>4</v>
      </c>
    </row>
    <row r="154" spans="1:8" x14ac:dyDescent="0.2">
      <c r="A154" s="5" t="s">
        <v>438</v>
      </c>
      <c r="B154" s="107">
        <f>'Cost Data'!B31</f>
        <v>5194</v>
      </c>
      <c r="C154" s="107">
        <f>'Cost Data'!C31</f>
        <v>5562</v>
      </c>
      <c r="D154" s="107">
        <f>'Cost Data'!D31</f>
        <v>5667</v>
      </c>
      <c r="E154" s="107">
        <f>'Cost Data'!E31</f>
        <v>6264</v>
      </c>
      <c r="F154" s="107">
        <f>'Cost Data'!F31</f>
        <v>5770</v>
      </c>
      <c r="G154" s="107">
        <f>'Cost Data'!G31</f>
        <v>101448</v>
      </c>
      <c r="H154" s="2" t="s">
        <v>503</v>
      </c>
    </row>
    <row r="155" spans="1:8" x14ac:dyDescent="0.2">
      <c r="A155" s="5" t="s">
        <v>440</v>
      </c>
      <c r="B155" s="107">
        <f>'Cost Data'!G13+'Cost Data'!G15</f>
        <v>25122</v>
      </c>
      <c r="H155" s="2" t="s">
        <v>504</v>
      </c>
    </row>
    <row r="157" spans="1:8" ht="30" customHeight="1" x14ac:dyDescent="0.2">
      <c r="A157" s="88" t="s">
        <v>505</v>
      </c>
    </row>
    <row r="158" spans="1:8" x14ac:dyDescent="0.2">
      <c r="A158" s="5" t="s">
        <v>446</v>
      </c>
      <c r="B158" s="107">
        <f>'Cost Data'!G16</f>
        <v>832388</v>
      </c>
      <c r="H158" s="2" t="s">
        <v>506</v>
      </c>
    </row>
    <row r="159" spans="1:8" x14ac:dyDescent="0.2">
      <c r="A159" s="5" t="s">
        <v>242</v>
      </c>
      <c r="B159" s="107">
        <f>'Cost Data'!G9</f>
        <v>1928685</v>
      </c>
      <c r="H159" s="2" t="s">
        <v>506</v>
      </c>
    </row>
    <row r="160" spans="1:8" x14ac:dyDescent="0.2">
      <c r="A160" s="5" t="s">
        <v>248</v>
      </c>
      <c r="B160" s="107">
        <f>'Cost Data'!G17</f>
        <v>188665</v>
      </c>
      <c r="H160" s="2" t="s">
        <v>506</v>
      </c>
    </row>
    <row r="161" spans="1:8" x14ac:dyDescent="0.2">
      <c r="A161" s="5" t="s">
        <v>243</v>
      </c>
      <c r="B161" s="107">
        <f>'Cost Data'!G10</f>
        <v>376181</v>
      </c>
      <c r="H161" s="2" t="s">
        <v>506</v>
      </c>
    </row>
    <row r="162" spans="1:8" x14ac:dyDescent="0.2">
      <c r="A162" s="5" t="s">
        <v>244</v>
      </c>
      <c r="B162" s="107">
        <f>'Cost Data'!G11</f>
        <v>565088</v>
      </c>
      <c r="H162" s="2" t="s">
        <v>506</v>
      </c>
    </row>
    <row r="163" spans="1:8" x14ac:dyDescent="0.2">
      <c r="A163" s="5" t="s">
        <v>448</v>
      </c>
      <c r="B163" s="107">
        <f>'Cost Data'!G12</f>
        <v>129906</v>
      </c>
      <c r="H163" s="2" t="s">
        <v>506</v>
      </c>
    </row>
    <row r="164" spans="1:8" x14ac:dyDescent="0.2">
      <c r="A164" s="5" t="s">
        <v>449</v>
      </c>
      <c r="B164" s="107">
        <f>B155</f>
        <v>25122</v>
      </c>
      <c r="H164" s="2" t="s">
        <v>506</v>
      </c>
    </row>
    <row r="165" spans="1:8" x14ac:dyDescent="0.2">
      <c r="A165" s="5" t="s">
        <v>450</v>
      </c>
      <c r="B165" s="107">
        <f>'Cost Data'!G18</f>
        <v>643722</v>
      </c>
      <c r="H165" s="2" t="s">
        <v>506</v>
      </c>
    </row>
    <row r="166" spans="1:8" ht="48" customHeight="1" x14ac:dyDescent="0.2">
      <c r="A166" s="5" t="s">
        <v>507</v>
      </c>
      <c r="B166" s="106">
        <v>191000</v>
      </c>
      <c r="H166" s="2" t="s">
        <v>508</v>
      </c>
    </row>
    <row r="167" spans="1:8" ht="62" customHeight="1" x14ac:dyDescent="0.2">
      <c r="A167" s="5" t="s">
        <v>509</v>
      </c>
      <c r="B167" s="106"/>
      <c r="H167" s="2" t="s">
        <v>510</v>
      </c>
    </row>
    <row r="168" spans="1:8" ht="62" customHeight="1" x14ac:dyDescent="0.2">
      <c r="H168" s="2"/>
    </row>
    <row r="169" spans="1:8" x14ac:dyDescent="0.2">
      <c r="A169" s="88" t="s">
        <v>511</v>
      </c>
    </row>
    <row r="170" spans="1:8" x14ac:dyDescent="0.2">
      <c r="A170" s="5" t="s">
        <v>340</v>
      </c>
      <c r="B170" s="86">
        <f>B160/B158</f>
        <v>0.22665511756536616</v>
      </c>
      <c r="H170" s="2" t="s">
        <v>512</v>
      </c>
    </row>
    <row r="171" spans="1:8" x14ac:dyDescent="0.2">
      <c r="A171" s="5" t="s">
        <v>513</v>
      </c>
      <c r="B171" s="86">
        <f>'Sensitivities 2P'!B7</f>
        <v>0.1</v>
      </c>
      <c r="H171" s="2" t="s">
        <v>514</v>
      </c>
    </row>
    <row r="173" spans="1:8" x14ac:dyDescent="0.2">
      <c r="A173" s="88" t="s">
        <v>515</v>
      </c>
    </row>
    <row r="174" spans="1:8" x14ac:dyDescent="0.2">
      <c r="A174" s="5" t="s">
        <v>482</v>
      </c>
      <c r="B174" s="107">
        <f>B122</f>
        <v>795</v>
      </c>
    </row>
    <row r="175" spans="1:8" ht="24" x14ac:dyDescent="0.2">
      <c r="A175" s="5" t="s">
        <v>516</v>
      </c>
      <c r="B175" s="97">
        <f>ROUND(B150,0)</f>
        <v>35</v>
      </c>
      <c r="H175" s="2" t="s">
        <v>517</v>
      </c>
    </row>
    <row r="176" spans="1:8" x14ac:dyDescent="0.2">
      <c r="A176" s="5" t="s">
        <v>485</v>
      </c>
      <c r="B176" s="86">
        <f>B9</f>
        <v>0.02</v>
      </c>
    </row>
    <row r="177" spans="1:8" x14ac:dyDescent="0.2">
      <c r="A177" s="5" t="s">
        <v>46</v>
      </c>
      <c r="B177" s="86">
        <f>B171</f>
        <v>0.1</v>
      </c>
    </row>
    <row r="178" spans="1:8" x14ac:dyDescent="0.2">
      <c r="A178" s="5" t="s">
        <v>488</v>
      </c>
      <c r="B178" s="86">
        <f>B170</f>
        <v>0.22665511756536616</v>
      </c>
    </row>
    <row r="179" spans="1:8" x14ac:dyDescent="0.2">
      <c r="A179" s="5" t="s">
        <v>489</v>
      </c>
      <c r="B179" s="107">
        <f>B174*(1+B176)*(1-((1+B176)/(1+B177))^B175)/(B177-B176)*(1-B178)</f>
        <v>7280.9733289106416</v>
      </c>
      <c r="H179" s="2" t="s">
        <v>518</v>
      </c>
    </row>
    <row r="182" spans="1:8" ht="30" customHeight="1" x14ac:dyDescent="0.2">
      <c r="A182" s="85" t="s">
        <v>519</v>
      </c>
    </row>
    <row r="183" spans="1:8" ht="84" customHeight="1" x14ac:dyDescent="0.2">
      <c r="A183" s="2" t="s">
        <v>520</v>
      </c>
    </row>
    <row r="184" spans="1:8" x14ac:dyDescent="0.2">
      <c r="A184" s="5" t="s">
        <v>521</v>
      </c>
      <c r="B184" s="75">
        <v>1</v>
      </c>
    </row>
    <row r="185" spans="1:8" ht="24" customHeight="1" x14ac:dyDescent="0.2">
      <c r="A185" s="5" t="s">
        <v>522</v>
      </c>
      <c r="B185" s="113">
        <v>1.0321709778999999</v>
      </c>
      <c r="H185" s="2" t="s">
        <v>523</v>
      </c>
    </row>
    <row r="186" spans="1:8" ht="36" customHeight="1" x14ac:dyDescent="0.2">
      <c r="A186" s="5" t="s">
        <v>524</v>
      </c>
      <c r="B186" s="113">
        <v>0.87432031269999999</v>
      </c>
      <c r="H186" s="2" t="s">
        <v>525</v>
      </c>
    </row>
    <row r="187" spans="1:8" x14ac:dyDescent="0.2">
      <c r="A187" s="5" t="s">
        <v>526</v>
      </c>
      <c r="B187" s="114">
        <f>'NAV Model 1P'!B48/B89</f>
        <v>1.0184004621769491</v>
      </c>
    </row>
    <row r="188" spans="1:8" x14ac:dyDescent="0.2">
      <c r="A188" s="5" t="s">
        <v>527</v>
      </c>
      <c r="B188" s="114">
        <f>'NAV Model 2P'!B48/B159</f>
        <v>1.0182610739875251</v>
      </c>
    </row>
    <row r="190" spans="1:8" x14ac:dyDescent="0.2">
      <c r="A190" s="85" t="s">
        <v>528</v>
      </c>
    </row>
    <row r="191" spans="1:8" ht="46" customHeight="1" x14ac:dyDescent="0.2">
      <c r="A191" s="2" t="s">
        <v>529</v>
      </c>
    </row>
    <row r="193" spans="1:8" ht="28" customHeight="1" x14ac:dyDescent="0.2">
      <c r="A193" s="5" t="s">
        <v>530</v>
      </c>
      <c r="B193" s="27">
        <f>Cover!D16</f>
        <v>2</v>
      </c>
      <c r="H193" s="2"/>
    </row>
    <row r="194" spans="1:8" ht="36" customHeight="1" x14ac:dyDescent="0.2">
      <c r="A194" s="5" t="s">
        <v>531</v>
      </c>
      <c r="B194" s="109">
        <f>F41</f>
        <v>74.78</v>
      </c>
      <c r="H194" s="2" t="s">
        <v>532</v>
      </c>
    </row>
    <row r="196" spans="1:8" ht="30" customHeight="1" x14ac:dyDescent="0.2">
      <c r="A196" s="88" t="s">
        <v>533</v>
      </c>
    </row>
    <row r="197" spans="1:8" x14ac:dyDescent="0.2">
      <c r="A197" s="88" t="s">
        <v>385</v>
      </c>
      <c r="B197" s="88" t="s">
        <v>386</v>
      </c>
      <c r="C197" s="88" t="s">
        <v>387</v>
      </c>
      <c r="D197" s="88" t="s">
        <v>388</v>
      </c>
      <c r="E197" s="88" t="s">
        <v>389</v>
      </c>
      <c r="F197" s="88" t="s">
        <v>390</v>
      </c>
    </row>
    <row r="198" spans="1:8" x14ac:dyDescent="0.2">
      <c r="A198" s="5" t="s">
        <v>181</v>
      </c>
      <c r="B198" s="119">
        <v>59.92</v>
      </c>
      <c r="C198" s="119">
        <v>65.099999999999994</v>
      </c>
      <c r="D198" s="119">
        <v>70.28</v>
      </c>
      <c r="E198" s="119">
        <v>71.930000000000007</v>
      </c>
      <c r="F198" s="119">
        <v>73.37</v>
      </c>
    </row>
    <row r="199" spans="1:8" x14ac:dyDescent="0.2">
      <c r="A199" s="5" t="s">
        <v>182</v>
      </c>
      <c r="B199" s="119">
        <v>0.72770000000000001</v>
      </c>
      <c r="C199" s="119">
        <v>0.73670000000000002</v>
      </c>
      <c r="D199" s="119">
        <v>0.74</v>
      </c>
      <c r="E199" s="119">
        <v>0.74</v>
      </c>
      <c r="F199" s="119">
        <v>0.74</v>
      </c>
    </row>
    <row r="200" spans="1:8" x14ac:dyDescent="0.2">
      <c r="A200" s="5" t="s">
        <v>183</v>
      </c>
      <c r="B200" s="119">
        <v>65.13</v>
      </c>
      <c r="C200" s="119">
        <v>70.430000000000007</v>
      </c>
      <c r="D200" s="119">
        <v>76.900000000000006</v>
      </c>
      <c r="E200" s="119">
        <v>78.709999999999994</v>
      </c>
      <c r="F200" s="119">
        <v>80.290000000000006</v>
      </c>
    </row>
    <row r="201" spans="1:8" x14ac:dyDescent="0.2">
      <c r="A201" s="5" t="s">
        <v>392</v>
      </c>
      <c r="B201" s="119">
        <v>77.540000000000006</v>
      </c>
      <c r="C201" s="119">
        <v>83.6</v>
      </c>
      <c r="D201" s="119">
        <v>90.17</v>
      </c>
      <c r="E201" s="119">
        <v>92.32</v>
      </c>
      <c r="F201" s="119">
        <v>94.17</v>
      </c>
    </row>
    <row r="202" spans="1:8" x14ac:dyDescent="0.2">
      <c r="A202" s="5" t="s">
        <v>185</v>
      </c>
      <c r="B202" s="119">
        <v>80.010000000000005</v>
      </c>
      <c r="C202" s="119">
        <v>86.19</v>
      </c>
      <c r="D202" s="119">
        <v>92.83</v>
      </c>
      <c r="E202" s="119">
        <v>95.04</v>
      </c>
      <c r="F202" s="119">
        <v>96.94</v>
      </c>
    </row>
    <row r="203" spans="1:8" x14ac:dyDescent="0.2">
      <c r="A203" s="5" t="s">
        <v>186</v>
      </c>
      <c r="B203" s="119">
        <v>3</v>
      </c>
      <c r="C203" s="119">
        <v>3.3</v>
      </c>
      <c r="D203" s="119">
        <v>3.49</v>
      </c>
      <c r="E203" s="119">
        <v>3.58</v>
      </c>
      <c r="F203" s="119">
        <v>3.65</v>
      </c>
    </row>
    <row r="205" spans="1:8" ht="30" customHeight="1" x14ac:dyDescent="0.2">
      <c r="A205" s="88" t="s">
        <v>534</v>
      </c>
    </row>
    <row r="206" spans="1:8" x14ac:dyDescent="0.2">
      <c r="A206" s="88" t="s">
        <v>385</v>
      </c>
      <c r="B206" s="88" t="s">
        <v>386</v>
      </c>
      <c r="C206" s="88" t="s">
        <v>387</v>
      </c>
      <c r="D206" s="88" t="s">
        <v>388</v>
      </c>
      <c r="E206" s="88" t="s">
        <v>389</v>
      </c>
      <c r="F206" s="88" t="s">
        <v>390</v>
      </c>
    </row>
    <row r="207" spans="1:8" ht="60" customHeight="1" x14ac:dyDescent="0.2">
      <c r="A207" s="5" t="s">
        <v>181</v>
      </c>
      <c r="B207" s="119">
        <v>72.33</v>
      </c>
      <c r="C207" s="119">
        <v>73.17</v>
      </c>
      <c r="D207" s="119">
        <v>74.010000000000005</v>
      </c>
      <c r="E207" s="119">
        <v>73.31</v>
      </c>
      <c r="F207" s="119">
        <v>74.78</v>
      </c>
      <c r="H207" s="2"/>
    </row>
    <row r="208" spans="1:8" ht="24" customHeight="1" x14ac:dyDescent="0.2">
      <c r="A208" s="5" t="s">
        <v>182</v>
      </c>
      <c r="B208" s="119">
        <v>0.7167</v>
      </c>
      <c r="C208" s="119">
        <v>0.73</v>
      </c>
      <c r="D208" s="119">
        <v>0.73670000000000002</v>
      </c>
      <c r="E208" s="119">
        <v>0.73670000000000002</v>
      </c>
      <c r="F208" s="119">
        <v>0.73670000000000002</v>
      </c>
      <c r="H208" s="2"/>
    </row>
    <row r="209" spans="1:8" x14ac:dyDescent="0.2">
      <c r="A209" s="5" t="s">
        <v>183</v>
      </c>
      <c r="B209" s="119">
        <v>82.05</v>
      </c>
      <c r="C209" s="119">
        <v>81.489999999999995</v>
      </c>
      <c r="D209" s="119">
        <v>81.709999999999994</v>
      </c>
      <c r="E209" s="119">
        <v>80.819999999999993</v>
      </c>
      <c r="F209" s="119">
        <v>82.44</v>
      </c>
    </row>
    <row r="210" spans="1:8" x14ac:dyDescent="0.2">
      <c r="A210" s="5" t="s">
        <v>392</v>
      </c>
      <c r="B210" s="119">
        <v>96.85</v>
      </c>
      <c r="C210" s="119">
        <v>95</v>
      </c>
      <c r="D210" s="119">
        <v>95.24</v>
      </c>
      <c r="E210" s="119">
        <v>94.16</v>
      </c>
      <c r="F210" s="119">
        <v>96.05</v>
      </c>
    </row>
    <row r="211" spans="1:8" x14ac:dyDescent="0.2">
      <c r="A211" s="5" t="s">
        <v>185</v>
      </c>
      <c r="B211" s="119">
        <v>95.07</v>
      </c>
      <c r="C211" s="119">
        <v>94.47</v>
      </c>
      <c r="D211" s="119">
        <v>94.72</v>
      </c>
      <c r="E211" s="119">
        <v>93.67</v>
      </c>
      <c r="F211" s="119">
        <v>95.61</v>
      </c>
    </row>
    <row r="212" spans="1:8" x14ac:dyDescent="0.2">
      <c r="A212" s="5" t="s">
        <v>186</v>
      </c>
      <c r="B212" s="119">
        <v>2.16</v>
      </c>
      <c r="C212" s="119">
        <v>2.75</v>
      </c>
      <c r="D212" s="119">
        <v>3.12</v>
      </c>
      <c r="E212" s="119">
        <v>3.43</v>
      </c>
      <c r="F212" s="119">
        <v>3.5</v>
      </c>
      <c r="H212" s="2"/>
    </row>
    <row r="213" spans="1:8" ht="130" customHeight="1" x14ac:dyDescent="0.2">
      <c r="A213" s="2" t="s">
        <v>535</v>
      </c>
    </row>
    <row r="214" spans="1:8" ht="30" customHeight="1" x14ac:dyDescent="0.2">
      <c r="A214" s="88"/>
    </row>
    <row r="215" spans="1:8" x14ac:dyDescent="0.2">
      <c r="A215" s="5" t="s">
        <v>536</v>
      </c>
      <c r="B215" s="27" t="str">
        <f>CHOOSE($B$193,"AIF reserve-report (Dec 31, 2025)","3-Consultant-Average, mid-year update (June 2026)")</f>
        <v>3-Consultant-Average, mid-year update (June 2026)</v>
      </c>
      <c r="C215" s="88"/>
      <c r="D215" s="88"/>
      <c r="E215" s="88"/>
      <c r="F215" s="88"/>
    </row>
    <row r="216" spans="1:8" ht="24" customHeight="1" x14ac:dyDescent="0.2">
      <c r="A216" s="5"/>
      <c r="B216" s="119"/>
      <c r="C216" s="119"/>
      <c r="D216" s="119"/>
      <c r="E216" s="119"/>
      <c r="F216" s="119"/>
      <c r="H216" s="2"/>
    </row>
    <row r="217" spans="1:8" x14ac:dyDescent="0.2">
      <c r="A217" s="5"/>
      <c r="B217" s="113"/>
      <c r="C217" s="113"/>
      <c r="D217" s="113"/>
      <c r="E217" s="113"/>
      <c r="F217" s="113"/>
    </row>
    <row r="218" spans="1:8" x14ac:dyDescent="0.2">
      <c r="A218" s="5"/>
      <c r="B218" s="109"/>
      <c r="C218" s="109"/>
      <c r="D218" s="109"/>
      <c r="E218" s="109"/>
      <c r="F218" s="109"/>
    </row>
    <row r="219" spans="1:8" x14ac:dyDescent="0.2">
      <c r="A219" s="5"/>
      <c r="B219" s="109"/>
      <c r="C219" s="109"/>
      <c r="D219" s="109"/>
      <c r="E219" s="109"/>
      <c r="F219" s="109"/>
    </row>
    <row r="220" spans="1:8" x14ac:dyDescent="0.2">
      <c r="A220" s="5"/>
      <c r="B220" s="109"/>
      <c r="C220" s="109"/>
      <c r="D220" s="109"/>
      <c r="E220" s="109"/>
      <c r="F220" s="109"/>
    </row>
    <row r="221" spans="1:8" x14ac:dyDescent="0.2">
      <c r="A221" s="5"/>
      <c r="B221" s="109"/>
      <c r="C221" s="109"/>
      <c r="D221" s="109"/>
      <c r="E221" s="109"/>
      <c r="F221" s="109"/>
    </row>
    <row r="222" spans="1:8" x14ac:dyDescent="0.2">
      <c r="A222" s="5"/>
      <c r="B222" s="27"/>
    </row>
    <row r="224" spans="1:8" ht="30" customHeight="1" x14ac:dyDescent="0.2">
      <c r="A224" s="85" t="s">
        <v>537</v>
      </c>
    </row>
    <row r="225" spans="1:8" ht="84" customHeight="1" x14ac:dyDescent="0.2">
      <c r="A225" s="2" t="s">
        <v>538</v>
      </c>
    </row>
    <row r="227" spans="1:8" x14ac:dyDescent="0.2">
      <c r="A227" s="5" t="s">
        <v>539</v>
      </c>
      <c r="B227" s="120">
        <v>46255</v>
      </c>
    </row>
    <row r="228" spans="1:8" x14ac:dyDescent="0.2">
      <c r="A228" s="5" t="s">
        <v>540</v>
      </c>
      <c r="B228" s="107">
        <f>'NAV Model 1P'!B111*-1</f>
        <v>14500</v>
      </c>
    </row>
    <row r="229" spans="1:8" ht="24" customHeight="1" x14ac:dyDescent="0.2">
      <c r="A229" s="5" t="s">
        <v>541</v>
      </c>
      <c r="B229" s="106">
        <v>14500</v>
      </c>
      <c r="H229" s="2" t="s">
        <v>542</v>
      </c>
    </row>
    <row r="230" spans="1:8" ht="28" customHeight="1" x14ac:dyDescent="0.2">
      <c r="A230" s="5" t="s">
        <v>543</v>
      </c>
      <c r="B230" s="121">
        <f>'NAV Model 1P'!B113</f>
        <v>2085.9720000000002</v>
      </c>
    </row>
    <row r="231" spans="1:8" ht="36" customHeight="1" x14ac:dyDescent="0.2">
      <c r="A231" s="5" t="s">
        <v>544</v>
      </c>
      <c r="B231" s="122">
        <v>2091</v>
      </c>
      <c r="H231" s="2" t="s">
        <v>545</v>
      </c>
    </row>
    <row r="232" spans="1:8" x14ac:dyDescent="0.2">
      <c r="A232" s="5" t="s">
        <v>546</v>
      </c>
      <c r="B232" s="107">
        <f>B228-B229</f>
        <v>0</v>
      </c>
    </row>
    <row r="234" spans="1:8" ht="28" customHeight="1" x14ac:dyDescent="0.2">
      <c r="A234" s="5" t="s">
        <v>547</v>
      </c>
      <c r="B234" s="107">
        <f>'NAV Model 1P'!B112+B232</f>
        <v>83273.965188220565</v>
      </c>
    </row>
    <row r="235" spans="1:8" x14ac:dyDescent="0.2">
      <c r="A235" s="5" t="s">
        <v>548</v>
      </c>
      <c r="B235" s="109">
        <f>B234/B231</f>
        <v>39.824947483606202</v>
      </c>
    </row>
    <row r="236" spans="1:8" ht="28" customHeight="1" x14ac:dyDescent="0.2">
      <c r="A236" s="5" t="s">
        <v>549</v>
      </c>
      <c r="B236" s="107">
        <f>'NAV Model 2P'!B112+B232</f>
        <v>114615.02343329611</v>
      </c>
    </row>
    <row r="237" spans="1:8" x14ac:dyDescent="0.2">
      <c r="A237" s="5" t="s">
        <v>550</v>
      </c>
      <c r="B237" s="109">
        <f>B236/B231</f>
        <v>54.813497576899145</v>
      </c>
    </row>
    <row r="241" spans="1:8" ht="30" x14ac:dyDescent="0.2">
      <c r="A241" s="85" t="s">
        <v>551</v>
      </c>
    </row>
    <row r="242" spans="1:8" ht="62" customHeight="1" x14ac:dyDescent="0.2">
      <c r="A242" s="2" t="s">
        <v>552</v>
      </c>
    </row>
    <row r="244" spans="1:8" ht="30" x14ac:dyDescent="0.2">
      <c r="A244" s="88" t="s">
        <v>553</v>
      </c>
    </row>
    <row r="245" spans="1:8" ht="30" x14ac:dyDescent="0.2">
      <c r="A245" s="88" t="s">
        <v>177</v>
      </c>
      <c r="B245" s="88" t="s">
        <v>554</v>
      </c>
      <c r="C245" s="88" t="s">
        <v>555</v>
      </c>
      <c r="D245" s="88" t="s">
        <v>556</v>
      </c>
      <c r="E245" s="88" t="s">
        <v>557</v>
      </c>
      <c r="F245" s="88" t="s">
        <v>558</v>
      </c>
    </row>
    <row r="246" spans="1:8" ht="24" x14ac:dyDescent="0.2">
      <c r="A246" s="128">
        <v>2025</v>
      </c>
      <c r="B246" s="106">
        <v>307</v>
      </c>
      <c r="C246" s="106">
        <v>64</v>
      </c>
      <c r="D246" s="106">
        <v>9</v>
      </c>
      <c r="E246" s="107">
        <f>SUM(B246:D246)</f>
        <v>380</v>
      </c>
      <c r="F246" s="86">
        <f>C246/E246</f>
        <v>0.16842105263157894</v>
      </c>
      <c r="H246" s="2" t="s">
        <v>559</v>
      </c>
    </row>
    <row r="247" spans="1:8" ht="24" x14ac:dyDescent="0.2">
      <c r="A247" s="128">
        <v>2024</v>
      </c>
      <c r="B247" s="106">
        <v>315</v>
      </c>
      <c r="C247" s="106">
        <v>65</v>
      </c>
      <c r="D247" s="106">
        <v>9</v>
      </c>
      <c r="E247" s="107">
        <f>SUM(B247:D247)</f>
        <v>389</v>
      </c>
      <c r="F247" s="86">
        <f>C247/E247</f>
        <v>0.16709511568123395</v>
      </c>
      <c r="H247" s="2" t="s">
        <v>559</v>
      </c>
    </row>
    <row r="248" spans="1:8" ht="24" x14ac:dyDescent="0.2">
      <c r="A248" s="128">
        <v>2023</v>
      </c>
      <c r="B248" s="106">
        <v>312</v>
      </c>
      <c r="C248" s="106">
        <v>46</v>
      </c>
      <c r="D248" s="106">
        <v>8</v>
      </c>
      <c r="E248" s="107">
        <f>SUM(B248:D248)</f>
        <v>366</v>
      </c>
      <c r="F248" s="86">
        <f>C248/E248</f>
        <v>0.12568306010928962</v>
      </c>
      <c r="H248" s="2" t="s">
        <v>559</v>
      </c>
    </row>
    <row r="249" spans="1:8" x14ac:dyDescent="0.2">
      <c r="A249" s="5" t="s">
        <v>560</v>
      </c>
      <c r="F249" s="86">
        <f>AVERAGE(F246:F247)</f>
        <v>0.16775808415640645</v>
      </c>
      <c r="H249" s="2" t="s">
        <v>561</v>
      </c>
    </row>
    <row r="251" spans="1:8" ht="30" x14ac:dyDescent="0.2">
      <c r="A251" s="88" t="s">
        <v>562</v>
      </c>
    </row>
    <row r="252" spans="1:8" ht="46" customHeight="1" x14ac:dyDescent="0.2">
      <c r="A252" s="5" t="s">
        <v>472</v>
      </c>
      <c r="B252" s="107">
        <f>B114</f>
        <v>9743</v>
      </c>
      <c r="H252" s="2" t="s">
        <v>563</v>
      </c>
    </row>
    <row r="253" spans="1:8" ht="46" customHeight="1" x14ac:dyDescent="0.2">
      <c r="A253" s="5" t="s">
        <v>564</v>
      </c>
      <c r="B253" s="107">
        <f>B114*F249</f>
        <v>1634.467013935868</v>
      </c>
      <c r="H253" s="2" t="s">
        <v>565</v>
      </c>
    </row>
    <row r="254" spans="1:8" ht="46" customHeight="1" x14ac:dyDescent="0.2">
      <c r="A254" s="5" t="s">
        <v>566</v>
      </c>
      <c r="B254" s="106">
        <v>1258</v>
      </c>
      <c r="H254" s="2" t="s">
        <v>567</v>
      </c>
    </row>
    <row r="255" spans="1:8" ht="46" customHeight="1" x14ac:dyDescent="0.2">
      <c r="A255" s="5" t="s">
        <v>568</v>
      </c>
      <c r="B255" s="39">
        <v>0.72499999999999998</v>
      </c>
      <c r="H255" s="2" t="s">
        <v>569</v>
      </c>
    </row>
    <row r="256" spans="1:8" ht="46" customHeight="1" x14ac:dyDescent="0.2">
      <c r="A256" s="5" t="s">
        <v>570</v>
      </c>
      <c r="B256" s="107">
        <f>B114*F249*(1-B255)</f>
        <v>449.4784288323637</v>
      </c>
      <c r="H256" s="2" t="s">
        <v>571</v>
      </c>
    </row>
    <row r="258" spans="1:5" x14ac:dyDescent="0.2">
      <c r="A258" s="88" t="s">
        <v>572</v>
      </c>
    </row>
    <row r="259" spans="1:5" x14ac:dyDescent="0.2">
      <c r="A259" s="5" t="s">
        <v>573</v>
      </c>
      <c r="B259" s="86">
        <f>B115</f>
        <v>0.17</v>
      </c>
    </row>
    <row r="260" spans="1:5" x14ac:dyDescent="0.2">
      <c r="A260" s="5" t="s">
        <v>574</v>
      </c>
      <c r="B260" s="107">
        <f>B116</f>
        <v>1656.3100000000002</v>
      </c>
    </row>
    <row r="261" spans="1:5" x14ac:dyDescent="0.2">
      <c r="A261" s="5" t="s">
        <v>575</v>
      </c>
      <c r="B261" s="107">
        <f>B116-B253</f>
        <v>21.842986064132219</v>
      </c>
    </row>
    <row r="262" spans="1:5" x14ac:dyDescent="0.2">
      <c r="A262" s="5" t="s">
        <v>576</v>
      </c>
      <c r="B262" s="107">
        <f>B116-B256</f>
        <v>1206.8315711676364</v>
      </c>
    </row>
    <row r="263" spans="1:5" x14ac:dyDescent="0.2">
      <c r="A263" s="5" t="s">
        <v>577</v>
      </c>
      <c r="B263" s="109">
        <f>(B116-B256)/B15</f>
        <v>0.57854639044418443</v>
      </c>
    </row>
    <row r="264" spans="1:5" ht="108" customHeight="1" x14ac:dyDescent="0.2">
      <c r="A264" s="2" t="s">
        <v>578</v>
      </c>
    </row>
    <row r="266" spans="1:5" ht="30" x14ac:dyDescent="0.2">
      <c r="A266" s="85" t="s">
        <v>579</v>
      </c>
    </row>
    <row r="267" spans="1:5" ht="32" customHeight="1" x14ac:dyDescent="0.2">
      <c r="A267" s="2" t="s">
        <v>580</v>
      </c>
    </row>
    <row r="269" spans="1:5" x14ac:dyDescent="0.2">
      <c r="A269" s="88" t="s">
        <v>581</v>
      </c>
      <c r="B269" s="107"/>
    </row>
    <row r="270" spans="1:5" x14ac:dyDescent="0.2">
      <c r="A270" s="5" t="s">
        <v>582</v>
      </c>
      <c r="B270" s="107">
        <f>'NAV Model 1P'!B84</f>
        <v>126167.92532491167</v>
      </c>
      <c r="C270" s="107">
        <f>B96</f>
        <v>157781</v>
      </c>
      <c r="D270" s="107">
        <f>'NAV Model 2P'!B84</f>
        <v>165974.18375829567</v>
      </c>
      <c r="E270" s="107">
        <f>B166</f>
        <v>191000</v>
      </c>
    </row>
    <row r="271" spans="1:5" x14ac:dyDescent="0.2">
      <c r="A271" s="5" t="s">
        <v>238</v>
      </c>
      <c r="B271" s="86">
        <f>B270/C270-1</f>
        <v>-0.20036046593118517</v>
      </c>
      <c r="D271" s="86">
        <f>D270/E270-1</f>
        <v>-0.13102521592515359</v>
      </c>
    </row>
    <row r="272" spans="1:5" ht="32" customHeight="1" x14ac:dyDescent="0.2">
      <c r="A272" s="2" t="s">
        <v>583</v>
      </c>
      <c r="B272" s="107"/>
    </row>
    <row r="273" spans="1:8" x14ac:dyDescent="0.2">
      <c r="A273" s="5"/>
      <c r="B273" s="129"/>
    </row>
    <row r="274" spans="1:8" ht="30" x14ac:dyDescent="0.2">
      <c r="A274" s="88" t="s">
        <v>584</v>
      </c>
      <c r="B274" s="129"/>
    </row>
    <row r="275" spans="1:8" ht="62" customHeight="1" x14ac:dyDescent="0.2">
      <c r="A275" s="2" t="s">
        <v>585</v>
      </c>
      <c r="B275" s="107"/>
    </row>
    <row r="277" spans="1:8" ht="32" customHeight="1" x14ac:dyDescent="0.2">
      <c r="A277" s="88" t="s">
        <v>586</v>
      </c>
    </row>
    <row r="278" spans="1:8" ht="100" customHeight="1" x14ac:dyDescent="0.2">
      <c r="A278" s="2" t="s">
        <v>587</v>
      </c>
    </row>
    <row r="279" spans="1:8" ht="92" customHeight="1" x14ac:dyDescent="0.2">
      <c r="A279" s="85" t="s">
        <v>588</v>
      </c>
    </row>
    <row r="280" spans="1:8" ht="90" customHeight="1" x14ac:dyDescent="0.2">
      <c r="A280" s="88" t="s">
        <v>589</v>
      </c>
    </row>
    <row r="281" spans="1:8" ht="130" customHeight="1" x14ac:dyDescent="0.2">
      <c r="A281" s="2" t="s">
        <v>590</v>
      </c>
    </row>
    <row r="282" spans="1:8" ht="90" customHeight="1" x14ac:dyDescent="0.2">
      <c r="A282" s="5" t="s">
        <v>591</v>
      </c>
      <c r="B282" s="106">
        <v>79841</v>
      </c>
      <c r="H282" s="2" t="s">
        <v>592</v>
      </c>
    </row>
    <row r="283" spans="1:8" ht="36" x14ac:dyDescent="0.2">
      <c r="A283" s="88" t="s">
        <v>593</v>
      </c>
      <c r="B283" s="130">
        <v>0.25</v>
      </c>
      <c r="H283" s="2" t="s">
        <v>594</v>
      </c>
    </row>
    <row r="284" spans="1:8" ht="90" customHeight="1" x14ac:dyDescent="0.2">
      <c r="A284" s="2" t="s">
        <v>595</v>
      </c>
      <c r="B284" s="130">
        <v>0.23</v>
      </c>
      <c r="H284" s="2" t="s">
        <v>596</v>
      </c>
    </row>
    <row r="286" spans="1:8" ht="15" customHeight="1" x14ac:dyDescent="0.2">
      <c r="A286" s="85" t="s">
        <v>754</v>
      </c>
    </row>
    <row r="287" spans="1:8" ht="15" customHeight="1" x14ac:dyDescent="0.2">
      <c r="A287" s="5" t="s">
        <v>755</v>
      </c>
      <c r="B287" s="40">
        <v>475</v>
      </c>
      <c r="H287" s="2" t="s">
        <v>756</v>
      </c>
    </row>
    <row r="288" spans="1:8" ht="15" customHeight="1" x14ac:dyDescent="0.2">
      <c r="A288" s="5" t="s">
        <v>757</v>
      </c>
      <c r="B288" s="40">
        <v>20.843527000000002</v>
      </c>
      <c r="H288" s="2" t="s">
        <v>758</v>
      </c>
    </row>
    <row r="289" spans="1:8" ht="15" customHeight="1" x14ac:dyDescent="0.2">
      <c r="A289" s="5" t="s">
        <v>759</v>
      </c>
      <c r="B289" s="40">
        <v>18.589950000000002</v>
      </c>
      <c r="H289" s="2" t="s">
        <v>760</v>
      </c>
    </row>
    <row r="291" spans="1:8" ht="15" customHeight="1" x14ac:dyDescent="0.2">
      <c r="A291" s="85" t="s">
        <v>761</v>
      </c>
    </row>
    <row r="292" spans="1:8" ht="15" customHeight="1" x14ac:dyDescent="0.2">
      <c r="B292" s="5" t="s">
        <v>762</v>
      </c>
      <c r="C292" s="5" t="s">
        <v>763</v>
      </c>
      <c r="D292" s="5" t="s">
        <v>764</v>
      </c>
    </row>
    <row r="294" spans="1:8" ht="15" customHeight="1" x14ac:dyDescent="0.2">
      <c r="A294" s="5" t="s">
        <v>765</v>
      </c>
      <c r="B294" s="107">
        <f>B34</f>
        <v>4598</v>
      </c>
      <c r="C294" s="107">
        <f>B35</f>
        <v>3330</v>
      </c>
      <c r="D294" s="107">
        <f>B36</f>
        <v>7983</v>
      </c>
    </row>
    <row r="295" spans="1:8" ht="15" customHeight="1" x14ac:dyDescent="0.2">
      <c r="A295" s="5" t="s">
        <v>766</v>
      </c>
      <c r="B295" s="107">
        <f>B294/$B$29</f>
        <v>0.2889824649613475</v>
      </c>
      <c r="C295" s="107">
        <f>C294/$B$29</f>
        <v>0.20928917101376407</v>
      </c>
      <c r="D295" s="107">
        <f>D294/$B$29</f>
        <v>0.50172836402488841</v>
      </c>
    </row>
    <row r="296" spans="1:8" ht="15" customHeight="1" x14ac:dyDescent="0.2">
      <c r="A296" s="5" t="s">
        <v>767</v>
      </c>
      <c r="B296" s="107">
        <f>$B$85*B295</f>
        <v>6897.7224561624034</v>
      </c>
      <c r="C296" s="107">
        <f>$B$85*C295</f>
        <v>4995.5232229275343</v>
      </c>
      <c r="D296" s="107">
        <f>$B$85*D295</f>
        <v>11975.754320910062</v>
      </c>
    </row>
    <row r="297" spans="1:8" ht="15" customHeight="1" x14ac:dyDescent="0.2">
      <c r="A297" s="5" t="s">
        <v>768</v>
      </c>
      <c r="B297" s="107">
        <f>ROUNDUP($G$34,0)</f>
        <v>22</v>
      </c>
      <c r="C297" s="107">
        <f>ROUNDUP($G$35,0)</f>
        <v>38</v>
      </c>
      <c r="D297" s="107">
        <f>ROUNDUP($G$36,0)</f>
        <v>41</v>
      </c>
    </row>
    <row r="298" spans="1:8" ht="15" customHeight="1" x14ac:dyDescent="0.2">
      <c r="A298" s="5" t="s">
        <v>769</v>
      </c>
      <c r="B298" s="107">
        <f>$B$287*B295</f>
        <v>137.26667085664005</v>
      </c>
      <c r="C298" s="107">
        <f>$B$287*C295</f>
        <v>99.412356231537927</v>
      </c>
      <c r="D298" s="107">
        <f>$B$287*D295</f>
        <v>238.320972911822</v>
      </c>
    </row>
    <row r="299" spans="1:8" ht="15" customHeight="1" x14ac:dyDescent="0.2">
      <c r="A299" s="5" t="s">
        <v>770</v>
      </c>
      <c r="B299" s="107">
        <f>(1.02^B297-1)/0.02</f>
        <v>27.298983538793987</v>
      </c>
      <c r="C299" s="107">
        <f>(1.02^C297-1)/0.02</f>
        <v>56.114939620090929</v>
      </c>
      <c r="D299" s="107">
        <f>(1.02^D297-1)/0.02</f>
        <v>62.610022844357438</v>
      </c>
    </row>
    <row r="300" spans="1:8" ht="15" customHeight="1" x14ac:dyDescent="0.2">
      <c r="A300" s="5" t="s">
        <v>771</v>
      </c>
      <c r="B300" s="107">
        <f>IF(B298*B299&gt;B296,0,1)</f>
        <v>1</v>
      </c>
      <c r="C300" s="107">
        <f>IF(C298*C299&gt;C296,0,1)</f>
        <v>0</v>
      </c>
      <c r="D300" s="107">
        <f>IF(D298*D299&gt;D296,0,1)</f>
        <v>0</v>
      </c>
    </row>
    <row r="301" spans="1:8" ht="15" customHeight="1" x14ac:dyDescent="0.2">
      <c r="A301" s="5" t="s">
        <v>772</v>
      </c>
      <c r="B301" s="107">
        <f>B298*IF(B300=1,B299,B297)</f>
        <v>3747.2405881404688</v>
      </c>
      <c r="C301" s="107">
        <f>C298*IF(C300=1,C299,C297)</f>
        <v>3777.6695367984412</v>
      </c>
      <c r="D301" s="107">
        <f>D298*IF(D300=1,D299,D297)</f>
        <v>9771.1598893847022</v>
      </c>
    </row>
    <row r="302" spans="1:8" ht="15" customHeight="1" x14ac:dyDescent="0.2">
      <c r="A302" s="5" t="s">
        <v>773</v>
      </c>
      <c r="B302" s="107">
        <f>IF(B301&gt;B296,B296/B301,1)</f>
        <v>1</v>
      </c>
      <c r="C302" s="107">
        <f>IF(C301&gt;C296,C296/C301,1)</f>
        <v>1</v>
      </c>
      <c r="D302" s="107">
        <f>IF(D301&gt;D296,D296/D301,1)</f>
        <v>1</v>
      </c>
    </row>
    <row r="303" spans="1:8" ht="15" customHeight="1" x14ac:dyDescent="0.2">
      <c r="A303" s="5" t="s">
        <v>774</v>
      </c>
      <c r="B303" s="107">
        <f>B296-B301*B302</f>
        <v>3150.4818680219346</v>
      </c>
      <c r="C303" s="107">
        <f>C296-C301*C302</f>
        <v>1217.8536861290931</v>
      </c>
      <c r="D303" s="107">
        <f>D296-D301*D302</f>
        <v>2204.5944315253601</v>
      </c>
    </row>
    <row r="304" spans="1:8" ht="15" customHeight="1" x14ac:dyDescent="0.2">
      <c r="A304" s="5" t="s">
        <v>775</v>
      </c>
      <c r="B304" s="107">
        <f>ROUNDUP(B297/2,0)+1</f>
        <v>12</v>
      </c>
      <c r="C304" s="107">
        <f>ROUNDUP(C297/2,0)+1</f>
        <v>20</v>
      </c>
      <c r="D304" s="107">
        <f>ROUNDUP(D297/2,0)+1</f>
        <v>22</v>
      </c>
    </row>
    <row r="305" spans="1:4" ht="15" customHeight="1" x14ac:dyDescent="0.2">
      <c r="A305" s="5" t="s">
        <v>776</v>
      </c>
      <c r="B305" s="107">
        <f>B297-ROUNDUP(B297/2,0)</f>
        <v>11</v>
      </c>
      <c r="C305" s="107">
        <f>C297-ROUNDUP(C297/2,0)</f>
        <v>19</v>
      </c>
      <c r="D305" s="107">
        <f>D297-ROUNDUP(D297/2,0)</f>
        <v>20</v>
      </c>
    </row>
    <row r="306" spans="1:4" ht="15" customHeight="1" x14ac:dyDescent="0.2">
      <c r="A306" s="5" t="s">
        <v>777</v>
      </c>
      <c r="B306" s="107">
        <f>IF(B305=0,0,B303/B305)</f>
        <v>286.40744254744862</v>
      </c>
      <c r="C306" s="107">
        <f>IF(C305=0,0,C303/C305)</f>
        <v>64.097562427847009</v>
      </c>
      <c r="D306" s="107">
        <f>IF(D305=0,0,D303/D305)</f>
        <v>110.22972157626801</v>
      </c>
    </row>
    <row r="309" spans="1:4" ht="15" customHeight="1" x14ac:dyDescent="0.2">
      <c r="A309" s="85" t="s">
        <v>778</v>
      </c>
    </row>
    <row r="310" spans="1:4" ht="15" customHeight="1" x14ac:dyDescent="0.2">
      <c r="B310" s="5" t="s">
        <v>762</v>
      </c>
      <c r="C310" s="5" t="s">
        <v>763</v>
      </c>
      <c r="D310" s="5" t="s">
        <v>764</v>
      </c>
    </row>
    <row r="312" spans="1:4" ht="15" customHeight="1" x14ac:dyDescent="0.2">
      <c r="A312" s="5" t="s">
        <v>765</v>
      </c>
      <c r="B312" s="107">
        <f>B147</f>
        <v>6992.333333333333</v>
      </c>
      <c r="C312" s="107">
        <f>B148</f>
        <v>5175</v>
      </c>
      <c r="D312" s="107">
        <f>B149</f>
        <v>8583</v>
      </c>
    </row>
    <row r="313" spans="1:4" ht="15" customHeight="1" x14ac:dyDescent="0.2">
      <c r="A313" s="5" t="s">
        <v>766</v>
      </c>
      <c r="B313" s="107">
        <f>B312/$B$143</f>
        <v>0.33697450643363158</v>
      </c>
      <c r="C313" s="107">
        <f>C312/$B$143</f>
        <v>0.24939358403881062</v>
      </c>
      <c r="D313" s="107">
        <f>D312/$B$143</f>
        <v>0.4136319095275578</v>
      </c>
    </row>
    <row r="314" spans="1:4" ht="15" customHeight="1" x14ac:dyDescent="0.2">
      <c r="A314" s="5" t="s">
        <v>767</v>
      </c>
      <c r="B314" s="107">
        <f>$B$155*B313</f>
        <v>8465.473550625693</v>
      </c>
      <c r="C314" s="107">
        <f>$B$155*C313</f>
        <v>6265.2656182230003</v>
      </c>
      <c r="D314" s="107">
        <f>$B$155*D313</f>
        <v>10391.260831151307</v>
      </c>
    </row>
    <row r="315" spans="1:4" ht="15" customHeight="1" x14ac:dyDescent="0.2">
      <c r="A315" s="5" t="s">
        <v>768</v>
      </c>
      <c r="B315" s="107">
        <f>ROUNDUP($E$147,0)</f>
        <v>28</v>
      </c>
      <c r="C315" s="107">
        <f>ROUNDUP($E$148,0)</f>
        <v>49</v>
      </c>
      <c r="D315" s="107">
        <f>ROUNDUP($E$149,0)</f>
        <v>37</v>
      </c>
    </row>
    <row r="316" spans="1:4" ht="15" customHeight="1" x14ac:dyDescent="0.2">
      <c r="A316" s="5" t="s">
        <v>769</v>
      </c>
      <c r="B316" s="107">
        <f>$B$287*B313</f>
        <v>160.062890555975</v>
      </c>
      <c r="C316" s="107">
        <f>$B$287*C313</f>
        <v>118.46195241843505</v>
      </c>
      <c r="D316" s="107">
        <f>$B$287*D313</f>
        <v>196.47515702558997</v>
      </c>
    </row>
    <row r="317" spans="1:4" ht="15" customHeight="1" x14ac:dyDescent="0.2">
      <c r="A317" s="5" t="s">
        <v>770</v>
      </c>
      <c r="B317" s="107">
        <f>(1.02^B315-1)/0.02</f>
        <v>37.051210308696348</v>
      </c>
      <c r="C317" s="107">
        <f>(1.02^C315-1)/0.02</f>
        <v>81.94058966047082</v>
      </c>
      <c r="D317" s="107">
        <f>(1.02^D315-1)/0.02</f>
        <v>54.034254529500899</v>
      </c>
    </row>
    <row r="318" spans="1:4" ht="15" customHeight="1" x14ac:dyDescent="0.2">
      <c r="A318" s="5" t="s">
        <v>771</v>
      </c>
      <c r="B318" s="107">
        <f>IF(B316*B317&gt;B314,0,1)</f>
        <v>1</v>
      </c>
      <c r="C318" s="107">
        <f>IF(C316*C317&gt;C314,0,1)</f>
        <v>0</v>
      </c>
      <c r="D318" s="107">
        <f>IF(D316*D317&gt;D314,0,1)</f>
        <v>0</v>
      </c>
    </row>
    <row r="319" spans="1:4" ht="15" customHeight="1" x14ac:dyDescent="0.2">
      <c r="A319" s="5" t="s">
        <v>772</v>
      </c>
      <c r="B319" s="107">
        <f>B316*IF(B318=1,B317,B315)</f>
        <v>5930.5238206072763</v>
      </c>
      <c r="C319" s="107">
        <f>C316*IF(C318=1,C317,C315)</f>
        <v>5804.635668503317</v>
      </c>
      <c r="D319" s="107">
        <f>D316*IF(D318=1,D317,D315)</f>
        <v>7269.5808099468286</v>
      </c>
    </row>
    <row r="320" spans="1:4" ht="15" customHeight="1" x14ac:dyDescent="0.2">
      <c r="A320" s="5" t="s">
        <v>773</v>
      </c>
      <c r="B320" s="107">
        <f>IF(B319&gt;B314,B314/B319,1)</f>
        <v>1</v>
      </c>
      <c r="C320" s="107">
        <f>IF(C319&gt;C314,C314/C319,1)</f>
        <v>1</v>
      </c>
      <c r="D320" s="107">
        <f>IF(D319&gt;D314,D314/D319,1)</f>
        <v>1</v>
      </c>
    </row>
    <row r="321" spans="1:4" ht="15" customHeight="1" x14ac:dyDescent="0.2">
      <c r="A321" s="5" t="s">
        <v>774</v>
      </c>
      <c r="B321" s="107">
        <f>B314-B319*B320</f>
        <v>2534.9497300184166</v>
      </c>
      <c r="C321" s="107">
        <f>C314-C319*C320</f>
        <v>460.62994971968328</v>
      </c>
      <c r="D321" s="107">
        <f>D314-D319*D320</f>
        <v>3121.6800212044782</v>
      </c>
    </row>
    <row r="322" spans="1:4" ht="15" customHeight="1" x14ac:dyDescent="0.2">
      <c r="A322" s="5" t="s">
        <v>775</v>
      </c>
      <c r="B322" s="107">
        <f>ROUNDUP(B315/2,0)+1</f>
        <v>15</v>
      </c>
      <c r="C322" s="107">
        <f>ROUNDUP(C315/2,0)+1</f>
        <v>26</v>
      </c>
      <c r="D322" s="107">
        <f>ROUNDUP(D315/2,0)+1</f>
        <v>20</v>
      </c>
    </row>
    <row r="323" spans="1:4" ht="15" customHeight="1" x14ac:dyDescent="0.2">
      <c r="A323" s="5" t="s">
        <v>776</v>
      </c>
      <c r="B323" s="107">
        <f>B315-ROUNDUP(B315/2,0)</f>
        <v>14</v>
      </c>
      <c r="C323" s="107">
        <f>C315-ROUNDUP(C315/2,0)</f>
        <v>24</v>
      </c>
      <c r="D323" s="107">
        <f>D315-ROUNDUP(D315/2,0)</f>
        <v>18</v>
      </c>
    </row>
    <row r="324" spans="1:4" ht="15" customHeight="1" x14ac:dyDescent="0.2">
      <c r="A324" s="5" t="s">
        <v>777</v>
      </c>
      <c r="B324" s="107">
        <f>IF(B323=0,0,B321/B323)</f>
        <v>181.06783785845832</v>
      </c>
      <c r="C324" s="107">
        <f>IF(C323=0,0,C321/C323)</f>
        <v>19.192914571653471</v>
      </c>
      <c r="D324" s="107">
        <f>IF(D323=0,0,D321/D323)</f>
        <v>173.42666784469324</v>
      </c>
    </row>
  </sheetData>
  <pageMargins left="0.75" right="0.75" top="1" bottom="1" header="0.511811023622047" footer="0.511811023622047"/>
  <pageSetup paperSize="9" orientation="portrait" horizontalDpi="300" verticalDpi="300"/>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A6A6A6"/>
  </sheetPr>
  <dimension ref="A1:J119"/>
  <sheetViews>
    <sheetView showGridLines="0" zoomScale="108" zoomScaleNormal="125" workbookViewId="0">
      <pane xSplit="1" ySplit="8" topLeftCell="B11" activePane="bottomRight" state="frozen"/>
      <selection pane="topRight"/>
      <selection pane="bottomLeft"/>
      <selection pane="bottomRight" activeCell="E25" sqref="E25"/>
    </sheetView>
  </sheetViews>
  <sheetFormatPr baseColWidth="10" defaultColWidth="10.5" defaultRowHeight="16" x14ac:dyDescent="0.2"/>
  <cols>
    <col min="1" max="1" width="46" customWidth="1"/>
    <col min="2" max="3" width="34" customWidth="1"/>
    <col min="4" max="4" width="38" customWidth="1"/>
    <col min="5" max="5" width="62" customWidth="1"/>
    <col min="6" max="6" width="24" customWidth="1"/>
    <col min="7" max="7" width="46" customWidth="1"/>
    <col min="8" max="8" width="19" customWidth="1"/>
    <col min="9" max="9" width="14" customWidth="1"/>
    <col min="10" max="10" width="44" customWidth="1"/>
  </cols>
  <sheetData>
    <row r="1" spans="1:10" ht="17.25" customHeight="1" x14ac:dyDescent="0.2">
      <c r="A1" s="98" t="s">
        <v>597</v>
      </c>
    </row>
    <row r="2" spans="1:10" ht="15.75" customHeight="1" x14ac:dyDescent="0.2">
      <c r="A2" s="1" t="s">
        <v>598</v>
      </c>
    </row>
    <row r="3" spans="1:10" ht="27.75" customHeight="1" x14ac:dyDescent="0.2">
      <c r="A3" s="138" t="s">
        <v>599</v>
      </c>
      <c r="B3" s="134"/>
      <c r="C3" s="134"/>
      <c r="D3" s="134"/>
      <c r="E3" s="134"/>
      <c r="F3" s="134"/>
      <c r="G3" s="134"/>
      <c r="H3" s="134"/>
      <c r="I3" s="134"/>
      <c r="J3" s="134"/>
    </row>
    <row r="5" spans="1:10" ht="15.75" customHeight="1" x14ac:dyDescent="0.2">
      <c r="A5" s="139" t="s">
        <v>600</v>
      </c>
      <c r="B5" s="134"/>
      <c r="C5" s="134"/>
      <c r="D5" s="134"/>
      <c r="E5" s="134"/>
      <c r="F5" s="134"/>
      <c r="G5" s="134"/>
      <c r="H5" s="134"/>
      <c r="I5" s="134"/>
      <c r="J5" s="134"/>
    </row>
    <row r="7" spans="1:10" ht="15.75" customHeight="1" x14ac:dyDescent="0.2">
      <c r="A7" s="29" t="s">
        <v>601</v>
      </c>
    </row>
    <row r="8" spans="1:10" ht="45" customHeight="1" x14ac:dyDescent="0.2">
      <c r="A8" s="88" t="s">
        <v>602</v>
      </c>
      <c r="B8" s="88" t="s">
        <v>603</v>
      </c>
      <c r="C8" s="88" t="s">
        <v>604</v>
      </c>
      <c r="D8" s="88" t="s">
        <v>605</v>
      </c>
      <c r="E8" s="88" t="s">
        <v>606</v>
      </c>
      <c r="F8" s="88" t="s">
        <v>607</v>
      </c>
      <c r="G8" s="88" t="s">
        <v>608</v>
      </c>
      <c r="H8" s="88" t="s">
        <v>609</v>
      </c>
      <c r="I8" s="88" t="s">
        <v>610</v>
      </c>
      <c r="J8" s="88" t="s">
        <v>611</v>
      </c>
    </row>
    <row r="9" spans="1:10" ht="15.75" customHeight="1" x14ac:dyDescent="0.2">
      <c r="A9" s="29" t="s">
        <v>554</v>
      </c>
      <c r="B9" s="6"/>
      <c r="C9" s="6"/>
      <c r="D9" s="6"/>
      <c r="E9" s="6"/>
      <c r="F9" s="6"/>
      <c r="G9" s="6"/>
      <c r="H9" s="6"/>
      <c r="I9" s="6"/>
      <c r="J9" s="6"/>
    </row>
    <row r="10" spans="1:10" ht="15.75" customHeight="1" x14ac:dyDescent="0.2">
      <c r="A10" s="14" t="s">
        <v>612</v>
      </c>
      <c r="B10" s="75">
        <v>120</v>
      </c>
      <c r="C10" s="75">
        <v>130</v>
      </c>
      <c r="D10" s="75">
        <v>188</v>
      </c>
      <c r="E10" s="75">
        <v>684</v>
      </c>
      <c r="F10" s="75">
        <v>835</v>
      </c>
      <c r="G10" s="75">
        <v>7043</v>
      </c>
      <c r="H10" s="75">
        <v>5859</v>
      </c>
      <c r="I10" s="75">
        <v>229</v>
      </c>
      <c r="J10" s="75">
        <v>10206</v>
      </c>
    </row>
    <row r="11" spans="1:10" ht="15.75" customHeight="1" x14ac:dyDescent="0.2">
      <c r="A11" s="14" t="s">
        <v>613</v>
      </c>
      <c r="B11" s="75">
        <v>2</v>
      </c>
      <c r="C11" s="75">
        <v>6</v>
      </c>
      <c r="D11" s="99"/>
      <c r="E11" s="75">
        <v>42</v>
      </c>
      <c r="F11" s="99"/>
      <c r="G11" s="99"/>
      <c r="H11" s="75">
        <v>272</v>
      </c>
      <c r="I11" s="75">
        <v>13</v>
      </c>
      <c r="J11" s="75">
        <v>109</v>
      </c>
    </row>
    <row r="12" spans="1:10" ht="15.75" customHeight="1" x14ac:dyDescent="0.2">
      <c r="A12" s="14" t="s">
        <v>614</v>
      </c>
      <c r="B12" s="75">
        <v>141</v>
      </c>
      <c r="C12" s="75">
        <v>92</v>
      </c>
      <c r="D12" s="75">
        <v>55</v>
      </c>
      <c r="E12" s="75">
        <v>2603</v>
      </c>
      <c r="F12" s="75">
        <v>14</v>
      </c>
      <c r="G12" s="75">
        <v>91</v>
      </c>
      <c r="H12" s="75">
        <v>11868</v>
      </c>
      <c r="I12" s="75">
        <v>575</v>
      </c>
      <c r="J12" s="75">
        <v>5548</v>
      </c>
    </row>
    <row r="13" spans="1:10" ht="15.75" customHeight="1" x14ac:dyDescent="0.2">
      <c r="A13" s="29" t="s">
        <v>615</v>
      </c>
      <c r="B13" s="100">
        <v>264</v>
      </c>
      <c r="C13" s="100">
        <v>228</v>
      </c>
      <c r="D13" s="100">
        <v>243</v>
      </c>
      <c r="E13" s="100">
        <v>3330</v>
      </c>
      <c r="F13" s="100">
        <v>849</v>
      </c>
      <c r="G13" s="100">
        <v>7134</v>
      </c>
      <c r="H13" s="100">
        <v>17999</v>
      </c>
      <c r="I13" s="100">
        <v>817</v>
      </c>
      <c r="J13" s="100">
        <v>15864</v>
      </c>
    </row>
    <row r="14" spans="1:10" ht="15.75" customHeight="1" x14ac:dyDescent="0.2">
      <c r="A14" s="14" t="s">
        <v>616</v>
      </c>
      <c r="B14" s="75">
        <v>107</v>
      </c>
      <c r="C14" s="75">
        <v>105</v>
      </c>
      <c r="D14" s="75">
        <v>107</v>
      </c>
      <c r="E14" s="75">
        <v>1845</v>
      </c>
      <c r="F14" s="75">
        <v>46</v>
      </c>
      <c r="G14" s="75">
        <v>554</v>
      </c>
      <c r="H14" s="75">
        <v>9965</v>
      </c>
      <c r="I14" s="75">
        <v>404</v>
      </c>
      <c r="J14" s="75">
        <v>4828</v>
      </c>
    </row>
    <row r="15" spans="1:10" ht="15.75" customHeight="1" x14ac:dyDescent="0.2">
      <c r="A15" s="29" t="s">
        <v>617</v>
      </c>
      <c r="B15" s="100">
        <v>371</v>
      </c>
      <c r="C15" s="100">
        <v>333</v>
      </c>
      <c r="D15" s="100">
        <v>349</v>
      </c>
      <c r="E15" s="100">
        <v>5175</v>
      </c>
      <c r="F15" s="100">
        <v>895</v>
      </c>
      <c r="G15" s="100">
        <v>7688</v>
      </c>
      <c r="H15" s="100">
        <v>27964</v>
      </c>
      <c r="I15" s="100">
        <v>1221</v>
      </c>
      <c r="J15" s="100">
        <v>20693</v>
      </c>
    </row>
    <row r="16" spans="1:10" ht="15.75" customHeight="1" x14ac:dyDescent="0.2">
      <c r="A16" s="29" t="s">
        <v>618</v>
      </c>
      <c r="B16" s="6"/>
      <c r="C16" s="6"/>
      <c r="D16" s="6"/>
      <c r="E16" s="6"/>
      <c r="F16" s="6"/>
      <c r="G16" s="6"/>
      <c r="H16" s="6"/>
      <c r="I16" s="6"/>
      <c r="J16" s="6"/>
    </row>
    <row r="17" spans="1:10" ht="15.75" customHeight="1" x14ac:dyDescent="0.2">
      <c r="A17" s="14" t="s">
        <v>612</v>
      </c>
      <c r="B17" s="99"/>
      <c r="C17" s="99"/>
      <c r="D17" s="99"/>
      <c r="E17" s="99"/>
      <c r="F17" s="99"/>
      <c r="G17" s="99"/>
      <c r="H17" s="99"/>
      <c r="I17" s="99"/>
      <c r="J17" s="99"/>
    </row>
    <row r="18" spans="1:10" ht="15.75" customHeight="1" x14ac:dyDescent="0.2">
      <c r="A18" s="14" t="s">
        <v>613</v>
      </c>
      <c r="B18" s="99"/>
      <c r="C18" s="99"/>
      <c r="D18" s="99"/>
      <c r="E18" s="99"/>
      <c r="F18" s="99"/>
      <c r="G18" s="99"/>
      <c r="H18" s="99"/>
      <c r="I18" s="99"/>
      <c r="J18" s="99"/>
    </row>
    <row r="19" spans="1:10" ht="15.75" customHeight="1" x14ac:dyDescent="0.2">
      <c r="A19" s="14" t="s">
        <v>614</v>
      </c>
      <c r="B19" s="99"/>
      <c r="C19" s="99"/>
      <c r="D19" s="99"/>
      <c r="E19" s="99"/>
      <c r="F19" s="99"/>
      <c r="G19" s="99"/>
      <c r="H19" s="99"/>
      <c r="I19" s="99"/>
      <c r="J19" s="99"/>
    </row>
    <row r="20" spans="1:10" ht="15.75" customHeight="1" x14ac:dyDescent="0.2">
      <c r="A20" s="29" t="s">
        <v>615</v>
      </c>
      <c r="B20" s="101"/>
      <c r="C20" s="101"/>
      <c r="D20" s="101"/>
      <c r="E20" s="101"/>
      <c r="F20" s="101"/>
      <c r="G20" s="101"/>
      <c r="H20" s="101"/>
      <c r="I20" s="101"/>
      <c r="J20" s="101"/>
    </row>
    <row r="21" spans="1:10" ht="15.75" customHeight="1" x14ac:dyDescent="0.2">
      <c r="A21" s="14" t="s">
        <v>616</v>
      </c>
      <c r="B21" s="99"/>
      <c r="C21" s="99"/>
      <c r="D21" s="99"/>
      <c r="E21" s="99"/>
      <c r="F21" s="99"/>
      <c r="G21" s="99"/>
      <c r="H21" s="99"/>
      <c r="I21" s="99"/>
      <c r="J21" s="99"/>
    </row>
    <row r="22" spans="1:10" ht="15.75" customHeight="1" x14ac:dyDescent="0.2">
      <c r="A22" s="29" t="s">
        <v>617</v>
      </c>
      <c r="B22" s="101"/>
      <c r="C22" s="101"/>
      <c r="D22" s="101"/>
      <c r="E22" s="101"/>
      <c r="F22" s="101"/>
      <c r="G22" s="101"/>
      <c r="H22" s="101"/>
      <c r="I22" s="101"/>
      <c r="J22" s="101"/>
    </row>
    <row r="23" spans="1:10" ht="15.75" customHeight="1" x14ac:dyDescent="0.2">
      <c r="A23" s="29" t="s">
        <v>556</v>
      </c>
      <c r="B23" s="6"/>
      <c r="C23" s="6"/>
      <c r="D23" s="6"/>
      <c r="E23" s="6"/>
      <c r="F23" s="6"/>
      <c r="G23" s="6"/>
      <c r="H23" s="6"/>
      <c r="I23" s="6"/>
      <c r="J23" s="6"/>
    </row>
    <row r="24" spans="1:10" ht="15.75" customHeight="1" x14ac:dyDescent="0.2">
      <c r="A24" s="14" t="s">
        <v>612</v>
      </c>
      <c r="B24" s="75">
        <v>1</v>
      </c>
      <c r="C24" s="99"/>
      <c r="D24" s="99"/>
      <c r="E24" s="99"/>
      <c r="F24" s="99"/>
      <c r="G24" s="99"/>
      <c r="H24" s="75">
        <v>2</v>
      </c>
      <c r="I24" s="99"/>
      <c r="J24" s="75">
        <v>1</v>
      </c>
    </row>
    <row r="25" spans="1:10" ht="15.75" customHeight="1" x14ac:dyDescent="0.2">
      <c r="A25" s="14" t="s">
        <v>613</v>
      </c>
      <c r="B25" s="75">
        <v>26</v>
      </c>
      <c r="C25" s="99"/>
      <c r="D25" s="99"/>
      <c r="E25" s="99"/>
      <c r="F25" s="99"/>
      <c r="G25" s="99"/>
      <c r="H25" s="99"/>
      <c r="I25" s="99"/>
      <c r="J25" s="75">
        <v>26</v>
      </c>
    </row>
    <row r="26" spans="1:10" ht="15.75" customHeight="1" x14ac:dyDescent="0.2">
      <c r="A26" s="14" t="s">
        <v>614</v>
      </c>
      <c r="B26" s="75">
        <v>19</v>
      </c>
      <c r="C26" s="99"/>
      <c r="D26" s="99"/>
      <c r="E26" s="99"/>
      <c r="F26" s="99"/>
      <c r="G26" s="99"/>
      <c r="H26" s="75">
        <v>5</v>
      </c>
      <c r="I26" s="99"/>
      <c r="J26" s="75">
        <v>19</v>
      </c>
    </row>
    <row r="27" spans="1:10" ht="15.75" customHeight="1" x14ac:dyDescent="0.2">
      <c r="A27" s="29" t="s">
        <v>615</v>
      </c>
      <c r="B27" s="100">
        <v>45</v>
      </c>
      <c r="C27" s="101"/>
      <c r="D27" s="101"/>
      <c r="E27" s="101"/>
      <c r="F27" s="101"/>
      <c r="G27" s="101"/>
      <c r="H27" s="100">
        <v>7</v>
      </c>
      <c r="I27" s="101"/>
      <c r="J27" s="100">
        <v>46</v>
      </c>
    </row>
    <row r="28" spans="1:10" ht="15.75" customHeight="1" x14ac:dyDescent="0.2">
      <c r="A28" s="14" t="s">
        <v>616</v>
      </c>
      <c r="B28" s="75">
        <v>11</v>
      </c>
      <c r="C28" s="99"/>
      <c r="D28" s="99"/>
      <c r="E28" s="99"/>
      <c r="F28" s="99"/>
      <c r="G28" s="99"/>
      <c r="H28" s="75">
        <v>4</v>
      </c>
      <c r="I28" s="99"/>
      <c r="J28" s="75">
        <v>11</v>
      </c>
    </row>
    <row r="29" spans="1:10" ht="15.75" customHeight="1" x14ac:dyDescent="0.2">
      <c r="A29" s="29" t="s">
        <v>617</v>
      </c>
      <c r="B29" s="100">
        <v>56</v>
      </c>
      <c r="C29" s="101"/>
      <c r="D29" s="101"/>
      <c r="E29" s="101"/>
      <c r="F29" s="101"/>
      <c r="G29" s="101"/>
      <c r="H29" s="100">
        <v>11</v>
      </c>
      <c r="I29" s="101"/>
      <c r="J29" s="100">
        <v>57</v>
      </c>
    </row>
    <row r="30" spans="1:10" ht="15.75" customHeight="1" x14ac:dyDescent="0.2">
      <c r="A30" s="29" t="s">
        <v>619</v>
      </c>
      <c r="B30" s="6"/>
      <c r="C30" s="6"/>
      <c r="D30" s="6"/>
      <c r="E30" s="6"/>
      <c r="F30" s="6"/>
      <c r="G30" s="6"/>
      <c r="H30" s="6"/>
      <c r="I30" s="6"/>
      <c r="J30" s="6"/>
    </row>
    <row r="31" spans="1:10" ht="15.75" customHeight="1" x14ac:dyDescent="0.2">
      <c r="A31" s="14" t="s">
        <v>612</v>
      </c>
      <c r="B31" s="75">
        <v>121</v>
      </c>
      <c r="C31" s="75">
        <v>130</v>
      </c>
      <c r="D31" s="75">
        <v>188</v>
      </c>
      <c r="E31" s="75">
        <v>684</v>
      </c>
      <c r="F31" s="75">
        <v>835</v>
      </c>
      <c r="G31" s="75">
        <v>7043</v>
      </c>
      <c r="H31" s="75">
        <v>5861</v>
      </c>
      <c r="I31" s="75">
        <v>229</v>
      </c>
      <c r="J31" s="75">
        <v>10207</v>
      </c>
    </row>
    <row r="32" spans="1:10" ht="15.75" customHeight="1" x14ac:dyDescent="0.2">
      <c r="A32" s="14" t="s">
        <v>613</v>
      </c>
      <c r="B32" s="75">
        <v>28</v>
      </c>
      <c r="C32" s="75">
        <v>6</v>
      </c>
      <c r="D32" s="99"/>
      <c r="E32" s="75">
        <v>42</v>
      </c>
      <c r="F32" s="99"/>
      <c r="G32" s="99"/>
      <c r="H32" s="75">
        <v>272</v>
      </c>
      <c r="I32" s="75">
        <v>13</v>
      </c>
      <c r="J32" s="75">
        <v>135</v>
      </c>
    </row>
    <row r="33" spans="1:10" ht="15.75" customHeight="1" x14ac:dyDescent="0.2">
      <c r="A33" s="14" t="s">
        <v>614</v>
      </c>
      <c r="B33" s="75">
        <v>160</v>
      </c>
      <c r="C33" s="75">
        <v>92</v>
      </c>
      <c r="D33" s="75">
        <v>55</v>
      </c>
      <c r="E33" s="75">
        <v>2603</v>
      </c>
      <c r="F33" s="75">
        <v>14</v>
      </c>
      <c r="G33" s="75">
        <v>91</v>
      </c>
      <c r="H33" s="75">
        <v>11873</v>
      </c>
      <c r="I33" s="75">
        <v>575</v>
      </c>
      <c r="J33" s="75">
        <v>5568</v>
      </c>
    </row>
    <row r="34" spans="1:10" ht="15.75" customHeight="1" x14ac:dyDescent="0.2">
      <c r="A34" s="29" t="s">
        <v>615</v>
      </c>
      <c r="B34" s="100">
        <v>309</v>
      </c>
      <c r="C34" s="100">
        <v>228</v>
      </c>
      <c r="D34" s="100">
        <v>243</v>
      </c>
      <c r="E34" s="100">
        <v>3330</v>
      </c>
      <c r="F34" s="100">
        <v>849</v>
      </c>
      <c r="G34" s="100">
        <v>7134</v>
      </c>
      <c r="H34" s="100">
        <v>18006</v>
      </c>
      <c r="I34" s="100">
        <v>817</v>
      </c>
      <c r="J34" s="100">
        <v>15910</v>
      </c>
    </row>
    <row r="35" spans="1:10" ht="15.75" customHeight="1" x14ac:dyDescent="0.2">
      <c r="A35" s="14" t="s">
        <v>616</v>
      </c>
      <c r="B35" s="75">
        <v>118</v>
      </c>
      <c r="C35" s="75">
        <v>105</v>
      </c>
      <c r="D35" s="75">
        <v>107</v>
      </c>
      <c r="E35" s="75">
        <v>1845</v>
      </c>
      <c r="F35" s="75">
        <v>46</v>
      </c>
      <c r="G35" s="75">
        <v>554</v>
      </c>
      <c r="H35" s="75">
        <v>9969</v>
      </c>
      <c r="I35" s="75">
        <v>404</v>
      </c>
      <c r="J35" s="75">
        <v>4840</v>
      </c>
    </row>
    <row r="36" spans="1:10" ht="15.75" customHeight="1" x14ac:dyDescent="0.2">
      <c r="A36" s="29" t="s">
        <v>617</v>
      </c>
      <c r="B36" s="100">
        <v>427</v>
      </c>
      <c r="C36" s="100">
        <v>333</v>
      </c>
      <c r="D36" s="100">
        <v>349</v>
      </c>
      <c r="E36" s="100">
        <v>5175</v>
      </c>
      <c r="F36" s="100">
        <v>895</v>
      </c>
      <c r="G36" s="100">
        <v>7688</v>
      </c>
      <c r="H36" s="100">
        <v>27974</v>
      </c>
      <c r="I36" s="100">
        <v>1221</v>
      </c>
      <c r="J36" s="100">
        <v>20750</v>
      </c>
    </row>
    <row r="38" spans="1:10" ht="15.75" customHeight="1" x14ac:dyDescent="0.2">
      <c r="A38" s="139" t="s">
        <v>620</v>
      </c>
      <c r="B38" s="134"/>
      <c r="C38" s="134"/>
      <c r="D38" s="134"/>
      <c r="E38" s="134"/>
      <c r="F38" s="134"/>
      <c r="G38" s="134"/>
      <c r="H38" s="134"/>
      <c r="I38" s="134"/>
      <c r="J38" s="134"/>
    </row>
    <row r="40" spans="1:10" ht="15.75" customHeight="1" x14ac:dyDescent="0.2">
      <c r="A40" s="29" t="s">
        <v>621</v>
      </c>
    </row>
    <row r="41" spans="1:10" ht="45" customHeight="1" x14ac:dyDescent="0.2">
      <c r="A41" s="88" t="s">
        <v>602</v>
      </c>
      <c r="B41" s="88" t="s">
        <v>603</v>
      </c>
      <c r="C41" s="88" t="s">
        <v>604</v>
      </c>
      <c r="D41" s="88" t="s">
        <v>605</v>
      </c>
      <c r="E41" s="88" t="s">
        <v>606</v>
      </c>
      <c r="F41" s="88" t="s">
        <v>607</v>
      </c>
      <c r="G41" s="88" t="s">
        <v>608</v>
      </c>
      <c r="H41" s="88" t="s">
        <v>609</v>
      </c>
      <c r="I41" s="88" t="s">
        <v>610</v>
      </c>
      <c r="J41" s="88" t="s">
        <v>611</v>
      </c>
    </row>
    <row r="42" spans="1:10" ht="15.75" customHeight="1" x14ac:dyDescent="0.2">
      <c r="A42" s="29" t="s">
        <v>554</v>
      </c>
      <c r="B42" s="6"/>
      <c r="C42" s="6"/>
      <c r="D42" s="6"/>
      <c r="E42" s="6"/>
      <c r="F42" s="6"/>
      <c r="G42" s="6"/>
      <c r="H42" s="6"/>
      <c r="I42" s="6"/>
      <c r="J42" s="6"/>
    </row>
    <row r="43" spans="1:10" ht="15.75" customHeight="1" x14ac:dyDescent="0.2">
      <c r="A43" s="14" t="s">
        <v>612</v>
      </c>
      <c r="B43" s="75">
        <v>104</v>
      </c>
      <c r="C43" s="75">
        <v>107</v>
      </c>
      <c r="D43" s="75">
        <v>150</v>
      </c>
      <c r="E43" s="75">
        <v>518</v>
      </c>
      <c r="F43" s="75">
        <v>649</v>
      </c>
      <c r="G43" s="75">
        <v>5831</v>
      </c>
      <c r="H43" s="75">
        <v>5308</v>
      </c>
      <c r="I43" s="75">
        <v>185</v>
      </c>
      <c r="J43" s="75">
        <v>8427</v>
      </c>
    </row>
    <row r="44" spans="1:10" ht="15.75" customHeight="1" x14ac:dyDescent="0.2">
      <c r="A44" s="14" t="s">
        <v>613</v>
      </c>
      <c r="B44" s="75">
        <v>2</v>
      </c>
      <c r="C44" s="75">
        <v>5</v>
      </c>
      <c r="D44" s="99"/>
      <c r="E44" s="75">
        <v>32</v>
      </c>
      <c r="F44" s="99"/>
      <c r="G44" s="99"/>
      <c r="H44" s="75">
        <v>246</v>
      </c>
      <c r="I44" s="75">
        <v>11</v>
      </c>
      <c r="J44" s="75">
        <v>91</v>
      </c>
    </row>
    <row r="45" spans="1:10" ht="15.75" customHeight="1" x14ac:dyDescent="0.2">
      <c r="A45" s="14" t="s">
        <v>614</v>
      </c>
      <c r="B45" s="75">
        <v>112</v>
      </c>
      <c r="C45" s="75">
        <v>76</v>
      </c>
      <c r="D45" s="75">
        <v>43</v>
      </c>
      <c r="E45" s="75">
        <v>1970</v>
      </c>
      <c r="F45" s="75">
        <v>4</v>
      </c>
      <c r="G45" s="75">
        <v>45</v>
      </c>
      <c r="H45" s="75">
        <v>10400</v>
      </c>
      <c r="I45" s="75">
        <v>452</v>
      </c>
      <c r="J45" s="75">
        <v>4436</v>
      </c>
    </row>
    <row r="46" spans="1:10" ht="15.75" customHeight="1" x14ac:dyDescent="0.2">
      <c r="A46" s="29" t="s">
        <v>615</v>
      </c>
      <c r="B46" s="100">
        <v>218</v>
      </c>
      <c r="C46" s="100">
        <v>188</v>
      </c>
      <c r="D46" s="100">
        <v>193</v>
      </c>
      <c r="E46" s="100">
        <v>2520</v>
      </c>
      <c r="F46" s="100">
        <v>653</v>
      </c>
      <c r="G46" s="100">
        <v>5876</v>
      </c>
      <c r="H46" s="100">
        <v>15954</v>
      </c>
      <c r="I46" s="100">
        <v>648</v>
      </c>
      <c r="J46" s="100">
        <v>12955</v>
      </c>
    </row>
    <row r="47" spans="1:10" ht="15.75" customHeight="1" x14ac:dyDescent="0.2">
      <c r="A47" s="14" t="s">
        <v>616</v>
      </c>
      <c r="B47" s="75">
        <v>83</v>
      </c>
      <c r="C47" s="75">
        <v>83</v>
      </c>
      <c r="D47" s="75">
        <v>77</v>
      </c>
      <c r="E47" s="75">
        <v>1371</v>
      </c>
      <c r="F47" s="75">
        <v>31</v>
      </c>
      <c r="G47" s="75">
        <v>440</v>
      </c>
      <c r="H47" s="75">
        <v>8511</v>
      </c>
      <c r="I47" s="75">
        <v>291</v>
      </c>
      <c r="J47" s="75">
        <v>3794</v>
      </c>
    </row>
    <row r="48" spans="1:10" ht="15.75" customHeight="1" x14ac:dyDescent="0.2">
      <c r="A48" s="29" t="s">
        <v>617</v>
      </c>
      <c r="B48" s="100">
        <v>301</v>
      </c>
      <c r="C48" s="100">
        <v>272</v>
      </c>
      <c r="D48" s="100">
        <v>270</v>
      </c>
      <c r="E48" s="100">
        <v>3891</v>
      </c>
      <c r="F48" s="100">
        <v>684</v>
      </c>
      <c r="G48" s="100">
        <v>6315</v>
      </c>
      <c r="H48" s="100">
        <v>24465</v>
      </c>
      <c r="I48" s="100">
        <v>939</v>
      </c>
      <c r="J48" s="100">
        <v>16749</v>
      </c>
    </row>
    <row r="49" spans="1:10" ht="15.75" customHeight="1" x14ac:dyDescent="0.2">
      <c r="A49" s="29" t="s">
        <v>622</v>
      </c>
      <c r="B49" s="6"/>
      <c r="C49" s="6"/>
      <c r="D49" s="6"/>
      <c r="E49" s="6"/>
      <c r="F49" s="6"/>
      <c r="G49" s="6"/>
      <c r="H49" s="6"/>
      <c r="I49" s="6"/>
      <c r="J49" s="6"/>
    </row>
    <row r="50" spans="1:10" ht="15.75" customHeight="1" x14ac:dyDescent="0.2">
      <c r="A50" s="14" t="s">
        <v>612</v>
      </c>
      <c r="B50" s="99"/>
      <c r="C50" s="99"/>
      <c r="D50" s="99"/>
      <c r="E50" s="99"/>
      <c r="F50" s="99"/>
      <c r="G50" s="99"/>
      <c r="H50" s="99"/>
      <c r="I50" s="99"/>
      <c r="J50" s="99"/>
    </row>
    <row r="51" spans="1:10" ht="15.75" customHeight="1" x14ac:dyDescent="0.2">
      <c r="A51" s="14" t="s">
        <v>613</v>
      </c>
      <c r="B51" s="99"/>
      <c r="C51" s="99"/>
      <c r="D51" s="99"/>
      <c r="E51" s="99"/>
      <c r="F51" s="99"/>
      <c r="G51" s="99"/>
      <c r="H51" s="99"/>
      <c r="I51" s="99"/>
      <c r="J51" s="99"/>
    </row>
    <row r="52" spans="1:10" ht="15.75" customHeight="1" x14ac:dyDescent="0.2">
      <c r="A52" s="14" t="s">
        <v>614</v>
      </c>
      <c r="B52" s="99"/>
      <c r="C52" s="99"/>
      <c r="D52" s="99"/>
      <c r="E52" s="99"/>
      <c r="F52" s="99"/>
      <c r="G52" s="99"/>
      <c r="H52" s="99"/>
      <c r="I52" s="99"/>
      <c r="J52" s="99"/>
    </row>
    <row r="53" spans="1:10" ht="15.75" customHeight="1" x14ac:dyDescent="0.2">
      <c r="A53" s="29" t="s">
        <v>615</v>
      </c>
      <c r="B53" s="101"/>
      <c r="C53" s="101"/>
      <c r="D53" s="101"/>
      <c r="E53" s="101"/>
      <c r="F53" s="101"/>
      <c r="G53" s="101"/>
      <c r="H53" s="101"/>
      <c r="I53" s="101"/>
      <c r="J53" s="101"/>
    </row>
    <row r="54" spans="1:10" ht="15.75" customHeight="1" x14ac:dyDescent="0.2">
      <c r="A54" s="14" t="s">
        <v>616</v>
      </c>
      <c r="B54" s="99"/>
      <c r="C54" s="99"/>
      <c r="D54" s="99"/>
      <c r="E54" s="99"/>
      <c r="F54" s="99"/>
      <c r="G54" s="99"/>
      <c r="H54" s="99"/>
      <c r="I54" s="99"/>
      <c r="J54" s="99"/>
    </row>
    <row r="55" spans="1:10" ht="15.75" customHeight="1" x14ac:dyDescent="0.2">
      <c r="A55" s="29" t="s">
        <v>617</v>
      </c>
      <c r="B55" s="101"/>
      <c r="C55" s="101"/>
      <c r="D55" s="101"/>
      <c r="E55" s="101"/>
      <c r="F55" s="101"/>
      <c r="G55" s="101"/>
      <c r="H55" s="101"/>
      <c r="I55" s="101"/>
      <c r="J55" s="101"/>
    </row>
    <row r="56" spans="1:10" ht="15.75" customHeight="1" x14ac:dyDescent="0.2">
      <c r="A56" s="29" t="s">
        <v>556</v>
      </c>
      <c r="B56" s="6"/>
      <c r="C56" s="6"/>
      <c r="D56" s="6"/>
      <c r="E56" s="6"/>
      <c r="F56" s="6"/>
      <c r="G56" s="6"/>
      <c r="H56" s="6"/>
      <c r="I56" s="6"/>
      <c r="J56" s="6"/>
    </row>
    <row r="57" spans="1:10" ht="15.75" customHeight="1" x14ac:dyDescent="0.2">
      <c r="A57" s="14" t="s">
        <v>612</v>
      </c>
      <c r="B57" s="75">
        <v>1</v>
      </c>
      <c r="C57" s="99"/>
      <c r="D57" s="99"/>
      <c r="E57" s="99"/>
      <c r="F57" s="99"/>
      <c r="G57" s="99"/>
      <c r="H57" s="75">
        <v>2</v>
      </c>
      <c r="I57" s="99"/>
      <c r="J57" s="75">
        <v>1</v>
      </c>
    </row>
    <row r="58" spans="1:10" ht="15.75" customHeight="1" x14ac:dyDescent="0.2">
      <c r="A58" s="14" t="s">
        <v>613</v>
      </c>
      <c r="B58" s="75">
        <v>24</v>
      </c>
      <c r="C58" s="99"/>
      <c r="D58" s="99"/>
      <c r="E58" s="99"/>
      <c r="F58" s="99"/>
      <c r="G58" s="99"/>
      <c r="H58" s="99"/>
      <c r="I58" s="99"/>
      <c r="J58" s="75">
        <v>24</v>
      </c>
    </row>
    <row r="59" spans="1:10" ht="15.75" customHeight="1" x14ac:dyDescent="0.2">
      <c r="A59" s="14" t="s">
        <v>614</v>
      </c>
      <c r="B59" s="75">
        <v>14</v>
      </c>
      <c r="C59" s="99"/>
      <c r="D59" s="99"/>
      <c r="E59" s="99"/>
      <c r="F59" s="99"/>
      <c r="G59" s="99"/>
      <c r="H59" s="75">
        <v>4</v>
      </c>
      <c r="I59" s="99"/>
      <c r="J59" s="75">
        <v>15</v>
      </c>
    </row>
    <row r="60" spans="1:10" ht="15.75" customHeight="1" x14ac:dyDescent="0.2">
      <c r="A60" s="29" t="s">
        <v>615</v>
      </c>
      <c r="B60" s="100">
        <v>39</v>
      </c>
      <c r="C60" s="101"/>
      <c r="D60" s="101"/>
      <c r="E60" s="101"/>
      <c r="F60" s="101"/>
      <c r="G60" s="101"/>
      <c r="H60" s="100">
        <v>6</v>
      </c>
      <c r="I60" s="101"/>
      <c r="J60" s="100">
        <v>40</v>
      </c>
    </row>
    <row r="61" spans="1:10" ht="15.75" customHeight="1" x14ac:dyDescent="0.2">
      <c r="A61" s="14" t="s">
        <v>616</v>
      </c>
      <c r="B61" s="75">
        <v>8</v>
      </c>
      <c r="C61" s="99"/>
      <c r="D61" s="99"/>
      <c r="E61" s="99"/>
      <c r="F61" s="99"/>
      <c r="G61" s="99"/>
      <c r="H61" s="75">
        <v>3</v>
      </c>
      <c r="I61" s="99"/>
      <c r="J61" s="75">
        <v>8</v>
      </c>
    </row>
    <row r="62" spans="1:10" ht="15.75" customHeight="1" x14ac:dyDescent="0.2">
      <c r="A62" s="29" t="s">
        <v>617</v>
      </c>
      <c r="B62" s="100">
        <v>47</v>
      </c>
      <c r="C62" s="101"/>
      <c r="D62" s="101"/>
      <c r="E62" s="101"/>
      <c r="F62" s="101"/>
      <c r="G62" s="101"/>
      <c r="H62" s="100">
        <v>9</v>
      </c>
      <c r="I62" s="101"/>
      <c r="J62" s="100">
        <v>48</v>
      </c>
    </row>
    <row r="63" spans="1:10" ht="15.75" customHeight="1" x14ac:dyDescent="0.2">
      <c r="A63" s="29" t="s">
        <v>619</v>
      </c>
      <c r="B63" s="6"/>
      <c r="C63" s="6"/>
      <c r="D63" s="6"/>
      <c r="E63" s="6"/>
      <c r="F63" s="6"/>
      <c r="G63" s="6"/>
      <c r="H63" s="6"/>
      <c r="I63" s="6"/>
      <c r="J63" s="6"/>
    </row>
    <row r="64" spans="1:10" ht="15.75" customHeight="1" x14ac:dyDescent="0.2">
      <c r="A64" s="14" t="s">
        <v>612</v>
      </c>
      <c r="B64" s="75">
        <v>104</v>
      </c>
      <c r="C64" s="75">
        <v>107</v>
      </c>
      <c r="D64" s="75">
        <v>150</v>
      </c>
      <c r="E64" s="75">
        <v>518</v>
      </c>
      <c r="F64" s="75">
        <v>649</v>
      </c>
      <c r="G64" s="75">
        <v>5831</v>
      </c>
      <c r="H64" s="75">
        <v>5310</v>
      </c>
      <c r="I64" s="75">
        <v>185</v>
      </c>
      <c r="J64" s="75">
        <v>8428</v>
      </c>
    </row>
    <row r="65" spans="1:10" ht="15.75" customHeight="1" x14ac:dyDescent="0.2">
      <c r="A65" s="14" t="s">
        <v>613</v>
      </c>
      <c r="B65" s="75">
        <v>26</v>
      </c>
      <c r="C65" s="75">
        <v>5</v>
      </c>
      <c r="D65" s="99"/>
      <c r="E65" s="75">
        <v>32</v>
      </c>
      <c r="F65" s="99"/>
      <c r="G65" s="99"/>
      <c r="H65" s="75">
        <v>246</v>
      </c>
      <c r="I65" s="75">
        <v>11</v>
      </c>
      <c r="J65" s="75">
        <v>116</v>
      </c>
    </row>
    <row r="66" spans="1:10" ht="15.75" customHeight="1" x14ac:dyDescent="0.2">
      <c r="A66" s="14" t="s">
        <v>614</v>
      </c>
      <c r="B66" s="75">
        <v>127</v>
      </c>
      <c r="C66" s="75">
        <v>76</v>
      </c>
      <c r="D66" s="75">
        <v>43</v>
      </c>
      <c r="E66" s="75">
        <v>1970</v>
      </c>
      <c r="F66" s="75">
        <v>4</v>
      </c>
      <c r="G66" s="75">
        <v>45</v>
      </c>
      <c r="H66" s="75">
        <v>10403</v>
      </c>
      <c r="I66" s="75">
        <v>452</v>
      </c>
      <c r="J66" s="75">
        <v>4451</v>
      </c>
    </row>
    <row r="67" spans="1:10" ht="15.75" customHeight="1" x14ac:dyDescent="0.2">
      <c r="A67" s="29" t="s">
        <v>615</v>
      </c>
      <c r="B67" s="100">
        <v>257</v>
      </c>
      <c r="C67" s="100">
        <v>188</v>
      </c>
      <c r="D67" s="100">
        <v>193</v>
      </c>
      <c r="E67" s="100">
        <v>2520</v>
      </c>
      <c r="F67" s="100">
        <v>653</v>
      </c>
      <c r="G67" s="100">
        <v>5876</v>
      </c>
      <c r="H67" s="100">
        <v>15960</v>
      </c>
      <c r="I67" s="100">
        <v>648</v>
      </c>
      <c r="J67" s="100">
        <v>12995</v>
      </c>
    </row>
    <row r="68" spans="1:10" ht="15.75" customHeight="1" x14ac:dyDescent="0.2">
      <c r="A68" s="14" t="s">
        <v>616</v>
      </c>
      <c r="B68" s="75">
        <v>91</v>
      </c>
      <c r="C68" s="75">
        <v>83</v>
      </c>
      <c r="D68" s="75">
        <v>77</v>
      </c>
      <c r="E68" s="75">
        <v>1371</v>
      </c>
      <c r="F68" s="75">
        <v>31</v>
      </c>
      <c r="G68" s="75">
        <v>440</v>
      </c>
      <c r="H68" s="75">
        <v>8514</v>
      </c>
      <c r="I68" s="75">
        <v>291</v>
      </c>
      <c r="J68" s="75">
        <v>3803</v>
      </c>
    </row>
    <row r="69" spans="1:10" ht="15.75" customHeight="1" x14ac:dyDescent="0.2">
      <c r="A69" s="29" t="s">
        <v>617</v>
      </c>
      <c r="B69" s="100">
        <v>348</v>
      </c>
      <c r="C69" s="100">
        <v>272</v>
      </c>
      <c r="D69" s="100">
        <v>270</v>
      </c>
      <c r="E69" s="100">
        <v>3891</v>
      </c>
      <c r="F69" s="100">
        <v>684</v>
      </c>
      <c r="G69" s="100">
        <v>6315</v>
      </c>
      <c r="H69" s="100">
        <v>24473</v>
      </c>
      <c r="I69" s="100">
        <v>939</v>
      </c>
      <c r="J69" s="100">
        <v>16797</v>
      </c>
    </row>
    <row r="71" spans="1:10" ht="15.75" customHeight="1" x14ac:dyDescent="0.2">
      <c r="A71" s="29" t="s">
        <v>623</v>
      </c>
    </row>
    <row r="73" spans="1:10" ht="15.75" customHeight="1" x14ac:dyDescent="0.2">
      <c r="A73" s="29" t="s">
        <v>624</v>
      </c>
      <c r="B73" s="6"/>
      <c r="C73" s="6"/>
      <c r="D73" s="6"/>
      <c r="E73" s="6"/>
      <c r="F73" s="6"/>
      <c r="G73" s="6"/>
      <c r="H73" s="6"/>
      <c r="I73" s="6"/>
      <c r="J73" s="6"/>
    </row>
    <row r="74" spans="1:10" ht="15.75" customHeight="1" x14ac:dyDescent="0.2">
      <c r="A74" s="14" t="s">
        <v>625</v>
      </c>
      <c r="B74" s="65">
        <f>J34</f>
        <v>15910</v>
      </c>
    </row>
    <row r="75" spans="1:10" ht="15.75" customHeight="1" x14ac:dyDescent="0.2">
      <c r="A75" s="14" t="s">
        <v>626</v>
      </c>
      <c r="B75" s="65">
        <f>J36</f>
        <v>20750</v>
      </c>
    </row>
    <row r="76" spans="1:10" ht="15.75" customHeight="1" x14ac:dyDescent="0.2">
      <c r="A76" s="14" t="s">
        <v>627</v>
      </c>
      <c r="B76" s="102">
        <v>31</v>
      </c>
    </row>
    <row r="77" spans="1:10" ht="15.75" customHeight="1" x14ac:dyDescent="0.2">
      <c r="A77" s="14" t="s">
        <v>628</v>
      </c>
      <c r="B77" s="102">
        <v>40</v>
      </c>
    </row>
    <row r="78" spans="1:10" ht="60" customHeight="1" x14ac:dyDescent="0.2">
      <c r="A78" s="139" t="s">
        <v>629</v>
      </c>
      <c r="B78" s="134"/>
      <c r="C78" s="134"/>
      <c r="D78" s="134"/>
      <c r="E78" s="134"/>
      <c r="F78" s="134"/>
      <c r="G78" s="134"/>
      <c r="H78" s="134"/>
      <c r="I78" s="134"/>
      <c r="J78" s="134"/>
    </row>
    <row r="80" spans="1:10" ht="15.75" customHeight="1" x14ac:dyDescent="0.2">
      <c r="A80" s="29" t="s">
        <v>630</v>
      </c>
      <c r="B80" s="6"/>
      <c r="C80" s="6"/>
      <c r="D80" s="6"/>
      <c r="E80" s="6"/>
      <c r="F80" s="6"/>
      <c r="G80" s="6"/>
      <c r="H80" s="6"/>
      <c r="I80" s="6"/>
      <c r="J80" s="6"/>
    </row>
    <row r="81" spans="1:10" ht="30" customHeight="1" x14ac:dyDescent="0.2">
      <c r="A81" s="88" t="s">
        <v>357</v>
      </c>
      <c r="B81" s="88" t="s">
        <v>631</v>
      </c>
      <c r="C81" s="88" t="s">
        <v>632</v>
      </c>
      <c r="D81" s="88" t="s">
        <v>633</v>
      </c>
      <c r="E81" s="88" t="s">
        <v>634</v>
      </c>
      <c r="F81" s="88" t="s">
        <v>635</v>
      </c>
      <c r="G81" t="s">
        <v>636</v>
      </c>
    </row>
    <row r="82" spans="1:10" ht="15.75" customHeight="1" x14ac:dyDescent="0.2">
      <c r="A82" s="14" t="s">
        <v>637</v>
      </c>
      <c r="B82" s="65">
        <f>B34+C34+D34+I34+H34/6</f>
        <v>4598</v>
      </c>
      <c r="C82" s="65">
        <f>B36+C36+D36+I36+H36/6</f>
        <v>6992.333333333333</v>
      </c>
      <c r="D82" s="27">
        <f>'NAV Model 1P'!C27+'NAV Model 1P'!C28+'NAV Model 1P'!C29+'NAV Model 1P'!C33+'NAV Model 1P'!C34/6</f>
        <v>211.69982623541335</v>
      </c>
      <c r="E82" s="103">
        <f>IF(D82=0,"n/m",B82/D82)</f>
        <v>21.719432092905716</v>
      </c>
      <c r="F82" s="103">
        <f>IF(G82=0,"n/m",C82/G82)</f>
        <v>27.978250006399996</v>
      </c>
      <c r="G82">
        <f>'NAV Model 2P'!C27+'NAV Model 2P'!C28+'NAV Model 2P'!C29+'NAV Model 2P'!C33+'NAV Model 2P'!C34/6</f>
        <v>249.92032495720224</v>
      </c>
    </row>
    <row r="83" spans="1:10" ht="15.75" customHeight="1" x14ac:dyDescent="0.2">
      <c r="A83" s="14" t="s">
        <v>379</v>
      </c>
      <c r="B83" s="65">
        <f>E34</f>
        <v>3330</v>
      </c>
      <c r="C83" s="65">
        <f>E36</f>
        <v>5175</v>
      </c>
      <c r="D83" s="27">
        <f>'NAV Model 1P'!C30</f>
        <v>89.530432713510521</v>
      </c>
      <c r="E83" s="103">
        <f>IF(D83=0,"n/m",B83/D83)</f>
        <v>37.194056803631298</v>
      </c>
      <c r="F83" s="103">
        <f>IF(G83=0,"n/m",C83/G83)</f>
        <v>48.961937511199999</v>
      </c>
      <c r="G83">
        <f>'NAV Model 2P'!C30</f>
        <v>105.69434673242299</v>
      </c>
    </row>
    <row r="84" spans="1:10" ht="15.75" customHeight="1" x14ac:dyDescent="0.2">
      <c r="A84" s="14" t="s">
        <v>381</v>
      </c>
      <c r="B84" s="65">
        <f>F34+G34</f>
        <v>7983</v>
      </c>
      <c r="C84" s="65">
        <f>F36+G36</f>
        <v>8583</v>
      </c>
      <c r="D84" s="27">
        <f>'NAV Model 1P'!C31+'NAV Model 1P'!C32</f>
        <v>197.98768540549071</v>
      </c>
      <c r="E84" s="103">
        <f>IF(D84=0,"n/m",B84/D84)</f>
        <v>40.320689560314499</v>
      </c>
      <c r="F84" s="103">
        <f>IF(G84=0,"n/m",C84/G84)</f>
        <v>36.721453133399997</v>
      </c>
      <c r="G84">
        <f>'NAV Model 2P'!C31+'NAV Model 2P'!C32</f>
        <v>233.73258048422198</v>
      </c>
    </row>
    <row r="85" spans="1:10" ht="15.75" customHeight="1" x14ac:dyDescent="0.2">
      <c r="A85" s="14" t="s">
        <v>638</v>
      </c>
      <c r="B85" s="65">
        <f>SUM(B82:B84)</f>
        <v>15911</v>
      </c>
      <c r="C85" s="65">
        <f>SUM(C82:C84)</f>
        <v>20750.333333333332</v>
      </c>
      <c r="D85" s="27">
        <f>SUM(D82:D84)</f>
        <v>499.21794435441456</v>
      </c>
      <c r="E85" s="103">
        <f>B85/D85</f>
        <v>31.871851122210767</v>
      </c>
      <c r="F85" s="103">
        <f>C85/G85</f>
        <v>35.209010064599987</v>
      </c>
      <c r="G85">
        <f>SUM(G82:G84)</f>
        <v>589.34725217384721</v>
      </c>
    </row>
    <row r="86" spans="1:10" ht="15.75" customHeight="1" x14ac:dyDescent="0.2">
      <c r="A86" s="29"/>
      <c r="B86" s="68"/>
      <c r="C86" s="68"/>
      <c r="D86" s="68"/>
      <c r="E86" s="104"/>
      <c r="F86" s="104"/>
    </row>
    <row r="88" spans="1:10" ht="27.75" customHeight="1" x14ac:dyDescent="0.2">
      <c r="A88" s="138" t="s">
        <v>639</v>
      </c>
      <c r="B88" s="134"/>
      <c r="C88" s="134"/>
      <c r="D88" s="134"/>
      <c r="E88" s="134"/>
      <c r="F88" s="134"/>
      <c r="G88" s="134"/>
      <c r="H88" s="134"/>
      <c r="I88" s="134"/>
      <c r="J88" s="134"/>
    </row>
    <row r="90" spans="1:10" ht="15.75" customHeight="1" x14ac:dyDescent="0.2">
      <c r="A90" s="29" t="s">
        <v>640</v>
      </c>
    </row>
    <row r="91" spans="1:10" ht="27.75" customHeight="1" x14ac:dyDescent="0.2">
      <c r="A91" s="138" t="s">
        <v>641</v>
      </c>
      <c r="B91" s="134"/>
      <c r="C91" s="134"/>
      <c r="D91" s="134"/>
      <c r="E91" s="134"/>
      <c r="F91" s="134"/>
    </row>
    <row r="93" spans="1:10" ht="27.75" customHeight="1" x14ac:dyDescent="0.2">
      <c r="A93" s="88" t="s">
        <v>357</v>
      </c>
      <c r="B93" s="88" t="s">
        <v>642</v>
      </c>
      <c r="C93" s="88" t="s">
        <v>643</v>
      </c>
      <c r="D93" s="88" t="s">
        <v>644</v>
      </c>
      <c r="E93" s="88" t="s">
        <v>645</v>
      </c>
    </row>
    <row r="94" spans="1:10" ht="15.75" customHeight="1" x14ac:dyDescent="0.2">
      <c r="A94" s="14" t="s">
        <v>377</v>
      </c>
      <c r="B94" s="65">
        <f>B13+C13+D13+I13+H13/6+B27+H27/6</f>
        <v>4598.0000000000009</v>
      </c>
      <c r="C94" s="65">
        <f>B15+C15+D15+I15+H15/6+B29+H29/6</f>
        <v>6992.5</v>
      </c>
      <c r="D94" s="102">
        <v>32</v>
      </c>
      <c r="E94" s="103">
        <f>ROUND(D94*(B94/C94),0)</f>
        <v>21</v>
      </c>
      <c r="G94" s="14" t="s">
        <v>646</v>
      </c>
      <c r="J94" s="14" t="s">
        <v>647</v>
      </c>
    </row>
    <row r="95" spans="1:10" ht="15.75" customHeight="1" x14ac:dyDescent="0.2">
      <c r="A95" s="14" t="s">
        <v>379</v>
      </c>
      <c r="B95" s="65">
        <f>E13</f>
        <v>3330</v>
      </c>
      <c r="C95" s="65">
        <f>E15</f>
        <v>5175</v>
      </c>
      <c r="D95" s="102">
        <v>56</v>
      </c>
      <c r="E95" s="103">
        <f>ROUND(D95*(B95/C95),0)</f>
        <v>36</v>
      </c>
      <c r="G95" s="14" t="s">
        <v>648</v>
      </c>
    </row>
    <row r="96" spans="1:10" ht="15.75" customHeight="1" x14ac:dyDescent="0.2">
      <c r="A96" s="14" t="s">
        <v>381</v>
      </c>
      <c r="B96" s="65">
        <f>F13+G13</f>
        <v>7983</v>
      </c>
      <c r="C96" s="65">
        <f>F15+G15</f>
        <v>8583</v>
      </c>
      <c r="D96" s="102">
        <v>42</v>
      </c>
      <c r="E96" s="103">
        <f>ROUND(D96*(B96/C96),0)</f>
        <v>39</v>
      </c>
      <c r="G96" s="14" t="s">
        <v>649</v>
      </c>
      <c r="J96" s="105">
        <f>D94*B94/C94</f>
        <v>21.041973543081877</v>
      </c>
    </row>
    <row r="97" spans="1:6" ht="15.75" customHeight="1" x14ac:dyDescent="0.2">
      <c r="A97" s="29" t="s">
        <v>650</v>
      </c>
      <c r="B97" s="68">
        <f>SUM(B94:B96)</f>
        <v>15911</v>
      </c>
      <c r="C97" s="68">
        <f>SUM(C94:C96)</f>
        <v>20750.5</v>
      </c>
      <c r="D97" s="1" t="s">
        <v>651</v>
      </c>
      <c r="E97" s="1" t="s">
        <v>651</v>
      </c>
    </row>
    <row r="98" spans="1:6" ht="42" customHeight="1" x14ac:dyDescent="0.2">
      <c r="A98" s="138" t="s">
        <v>652</v>
      </c>
      <c r="B98" s="134"/>
      <c r="C98" s="134"/>
      <c r="D98" s="134"/>
      <c r="E98" s="134"/>
      <c r="F98" s="134"/>
    </row>
    <row r="100" spans="1:6" ht="60" customHeight="1" x14ac:dyDescent="0.2">
      <c r="A100" s="138" t="s">
        <v>653</v>
      </c>
      <c r="B100" s="134"/>
      <c r="C100" s="134"/>
      <c r="D100" s="134"/>
      <c r="E100" s="134"/>
      <c r="F100" s="134"/>
    </row>
    <row r="102" spans="1:6" x14ac:dyDescent="0.2">
      <c r="A102" s="29" t="s">
        <v>654</v>
      </c>
    </row>
    <row r="103" spans="1:6" ht="60" customHeight="1" x14ac:dyDescent="0.2">
      <c r="A103" s="1" t="s">
        <v>655</v>
      </c>
    </row>
    <row r="105" spans="1:6" x14ac:dyDescent="0.2">
      <c r="A105" s="29" t="s">
        <v>436</v>
      </c>
      <c r="B105" s="29" t="s">
        <v>656</v>
      </c>
      <c r="C105" s="29" t="s">
        <v>657</v>
      </c>
      <c r="D105" s="29" t="s">
        <v>356</v>
      </c>
      <c r="E105" s="29" t="s">
        <v>658</v>
      </c>
    </row>
    <row r="106" spans="1:6" x14ac:dyDescent="0.2">
      <c r="A106" s="14" t="s">
        <v>659</v>
      </c>
      <c r="B106" s="115">
        <f>B76</f>
        <v>31</v>
      </c>
      <c r="C106" s="115">
        <f>B77</f>
        <v>40</v>
      </c>
      <c r="D106" s="14" t="s">
        <v>660</v>
      </c>
      <c r="E106" s="1" t="s">
        <v>661</v>
      </c>
    </row>
    <row r="107" spans="1:6" x14ac:dyDescent="0.2">
      <c r="A107" s="14" t="s">
        <v>662</v>
      </c>
      <c r="B107" s="116">
        <f>J34</f>
        <v>15910</v>
      </c>
      <c r="C107" s="116">
        <f>J36</f>
        <v>20750</v>
      </c>
      <c r="D107" s="14" t="s">
        <v>663</v>
      </c>
      <c r="E107" s="1" t="s">
        <v>664</v>
      </c>
    </row>
    <row r="108" spans="1:6" x14ac:dyDescent="0.2">
      <c r="A108" s="14" t="s">
        <v>665</v>
      </c>
      <c r="B108" s="116">
        <f>B107/B106*1000/365</f>
        <v>1406.0980998674327</v>
      </c>
      <c r="C108" s="116">
        <f>C107/C106*1000/365</f>
        <v>1421.2328767123288</v>
      </c>
      <c r="D108" s="14" t="s">
        <v>666</v>
      </c>
      <c r="E108" s="1" t="s">
        <v>667</v>
      </c>
    </row>
    <row r="110" spans="1:6" x14ac:dyDescent="0.2">
      <c r="A110" s="14" t="s">
        <v>668</v>
      </c>
      <c r="B110" s="106">
        <v>1615</v>
      </c>
      <c r="C110" s="106">
        <v>1665</v>
      </c>
      <c r="D110" s="14" t="s">
        <v>666</v>
      </c>
      <c r="E110" s="1" t="s">
        <v>669</v>
      </c>
      <c r="F110" s="116">
        <f>AVERAGE(B110:C110)</f>
        <v>1640</v>
      </c>
    </row>
    <row r="111" spans="1:6" x14ac:dyDescent="0.2">
      <c r="A111" s="14" t="s">
        <v>670</v>
      </c>
      <c r="B111" s="87">
        <f>B108/$F$110</f>
        <v>0.85737689016306873</v>
      </c>
      <c r="C111" s="87">
        <f>C108/$F$110</f>
        <v>0.86660541262946877</v>
      </c>
      <c r="D111" s="14" t="s">
        <v>671</v>
      </c>
      <c r="E111" s="1" t="s">
        <v>672</v>
      </c>
    </row>
    <row r="112" spans="1:6" x14ac:dyDescent="0.2">
      <c r="A112" s="14" t="s">
        <v>673</v>
      </c>
      <c r="B112" s="115">
        <f>B107/($F$110*365/1000)</f>
        <v>26.578683595055129</v>
      </c>
      <c r="C112" s="115">
        <f>C107/($F$110*365/1000)</f>
        <v>34.66421650517875</v>
      </c>
      <c r="D112" s="14" t="s">
        <v>660</v>
      </c>
      <c r="E112" s="1" t="s">
        <v>674</v>
      </c>
    </row>
    <row r="114" spans="1:6" x14ac:dyDescent="0.2">
      <c r="A114" s="14" t="s">
        <v>675</v>
      </c>
      <c r="B114" s="116">
        <f>'NAV Model 1P'!C36</f>
        <v>1367.7203954915469</v>
      </c>
      <c r="C114" s="116">
        <f>'NAV Model 2P'!C36</f>
        <v>1614.6500059557457</v>
      </c>
      <c r="D114" s="14" t="s">
        <v>666</v>
      </c>
      <c r="E114" s="1" t="s">
        <v>676</v>
      </c>
    </row>
    <row r="115" spans="1:6" x14ac:dyDescent="0.2">
      <c r="A115" s="14" t="s">
        <v>677</v>
      </c>
      <c r="B115" s="115">
        <f>'Model Inputs'!B37</f>
        <v>31.871851122210764</v>
      </c>
      <c r="C115" s="115">
        <f>'Model Inputs'!B150</f>
        <v>35.209010064599987</v>
      </c>
      <c r="D115" s="14" t="s">
        <v>660</v>
      </c>
      <c r="E115" s="1" t="s">
        <v>678</v>
      </c>
    </row>
    <row r="116" spans="1:6" x14ac:dyDescent="0.2">
      <c r="A116" s="14" t="s">
        <v>679</v>
      </c>
      <c r="B116" s="117">
        <f>B115/B106-1</f>
        <v>2.8124229748734297E-2</v>
      </c>
      <c r="C116" s="117">
        <f>C115/C106-1</f>
        <v>-0.11977474838500035</v>
      </c>
      <c r="D116" s="14" t="s">
        <v>671</v>
      </c>
      <c r="E116" s="1" t="s">
        <v>680</v>
      </c>
    </row>
    <row r="117" spans="1:6" x14ac:dyDescent="0.2">
      <c r="A117" s="14" t="s">
        <v>681</v>
      </c>
      <c r="B117" s="117">
        <f>B115/B112-1</f>
        <v>0.19915085366155649</v>
      </c>
      <c r="C117" s="117">
        <f>C115/C112-1</f>
        <v>1.5716309622628932E-2</v>
      </c>
      <c r="D117" s="14" t="s">
        <v>671</v>
      </c>
      <c r="E117" s="1" t="s">
        <v>682</v>
      </c>
    </row>
    <row r="119" spans="1:6" ht="92" customHeight="1" x14ac:dyDescent="0.2">
      <c r="A119" s="139" t="s">
        <v>683</v>
      </c>
      <c r="B119" s="134"/>
      <c r="C119" s="134"/>
      <c r="D119" s="134"/>
      <c r="E119" s="134"/>
      <c r="F119" s="134"/>
    </row>
  </sheetData>
  <mergeCells count="9">
    <mergeCell ref="A3:J3"/>
    <mergeCell ref="A78:J78"/>
    <mergeCell ref="A119:F119"/>
    <mergeCell ref="A38:J38"/>
    <mergeCell ref="A100:F100"/>
    <mergeCell ref="A91:F91"/>
    <mergeCell ref="A5:J5"/>
    <mergeCell ref="A98:F98"/>
    <mergeCell ref="A88:J88"/>
  </mergeCells>
  <pageMargins left="0.7" right="0.7" top="0.75" bottom="0.75" header="0.511811023622047" footer="0.511811023622047"/>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A6A6A6"/>
  </sheetPr>
  <dimension ref="A1:I33"/>
  <sheetViews>
    <sheetView showGridLines="0" topLeftCell="A6" zoomScaleNormal="119" workbookViewId="0">
      <pane xSplit="1" ySplit="8" topLeftCell="B14" activePane="bottomRight" state="frozen"/>
      <selection pane="topRight"/>
      <selection pane="bottomLeft"/>
      <selection pane="bottomRight" activeCell="J33" sqref="J33"/>
    </sheetView>
  </sheetViews>
  <sheetFormatPr baseColWidth="10" defaultColWidth="8.5" defaultRowHeight="16" x14ac:dyDescent="0.2"/>
  <cols>
    <col min="1" max="1" width="46" customWidth="1"/>
    <col min="2" max="7" width="18" customWidth="1"/>
    <col min="8" max="8" width="10" customWidth="1"/>
    <col min="9" max="9" width="17" customWidth="1"/>
  </cols>
  <sheetData>
    <row r="1" spans="1:7" ht="18.75" customHeight="1" x14ac:dyDescent="0.2">
      <c r="A1" s="98" t="s">
        <v>684</v>
      </c>
    </row>
    <row r="2" spans="1:7" ht="15.75" customHeight="1" x14ac:dyDescent="0.2">
      <c r="A2" s="1" t="s">
        <v>685</v>
      </c>
    </row>
    <row r="3" spans="1:7" ht="27.75" customHeight="1" x14ac:dyDescent="0.2">
      <c r="A3" s="138" t="s">
        <v>686</v>
      </c>
      <c r="B3" s="134"/>
      <c r="C3" s="134"/>
      <c r="D3" s="134"/>
      <c r="E3" s="134"/>
      <c r="F3" s="134"/>
      <c r="G3" s="134"/>
    </row>
    <row r="5" spans="1:7" ht="42" customHeight="1" x14ac:dyDescent="0.2">
      <c r="A5" s="138" t="s">
        <v>687</v>
      </c>
      <c r="B5" s="134"/>
      <c r="C5" s="134"/>
      <c r="D5" s="134"/>
      <c r="E5" s="134"/>
      <c r="F5" s="134"/>
      <c r="G5" s="134"/>
    </row>
    <row r="7" spans="1:7" ht="15.75" customHeight="1" x14ac:dyDescent="0.2">
      <c r="A7" s="29" t="s">
        <v>688</v>
      </c>
    </row>
    <row r="8" spans="1:7" ht="27.75" customHeight="1" x14ac:dyDescent="0.2">
      <c r="A8" s="88" t="s">
        <v>689</v>
      </c>
      <c r="B8" s="88" t="s">
        <v>690</v>
      </c>
      <c r="C8" s="88" t="s">
        <v>691</v>
      </c>
      <c r="D8" s="88" t="s">
        <v>692</v>
      </c>
      <c r="E8" s="88" t="s">
        <v>693</v>
      </c>
      <c r="F8" s="88" t="s">
        <v>694</v>
      </c>
      <c r="G8" s="88" t="s">
        <v>695</v>
      </c>
    </row>
    <row r="9" spans="1:7" ht="15.75" customHeight="1" x14ac:dyDescent="0.2">
      <c r="A9" s="14" t="s">
        <v>696</v>
      </c>
      <c r="B9" s="75">
        <v>1515698</v>
      </c>
      <c r="C9" s="75">
        <v>1923661</v>
      </c>
      <c r="D9" s="75">
        <v>4157</v>
      </c>
      <c r="E9" s="75">
        <v>5024</v>
      </c>
      <c r="F9" s="75">
        <v>1519855</v>
      </c>
      <c r="G9" s="75">
        <v>1928685</v>
      </c>
    </row>
    <row r="10" spans="1:7" ht="15.75" customHeight="1" x14ac:dyDescent="0.2">
      <c r="A10" s="14" t="s">
        <v>697</v>
      </c>
      <c r="B10" s="75">
        <v>285418</v>
      </c>
      <c r="C10" s="75">
        <v>375998</v>
      </c>
      <c r="D10" s="75">
        <v>142</v>
      </c>
      <c r="E10" s="75">
        <v>183</v>
      </c>
      <c r="F10" s="75">
        <v>285561</v>
      </c>
      <c r="G10" s="75">
        <v>376181</v>
      </c>
    </row>
    <row r="11" spans="1:7" ht="15.75" customHeight="1" x14ac:dyDescent="0.2">
      <c r="A11" s="29" t="s">
        <v>698</v>
      </c>
      <c r="B11" s="100">
        <v>471315</v>
      </c>
      <c r="C11" s="100">
        <v>564057</v>
      </c>
      <c r="D11" s="100">
        <v>1042</v>
      </c>
      <c r="E11" s="100">
        <v>1030</v>
      </c>
      <c r="F11" s="100">
        <v>472357</v>
      </c>
      <c r="G11" s="100">
        <v>565088</v>
      </c>
    </row>
    <row r="12" spans="1:7" ht="15.75" customHeight="1" x14ac:dyDescent="0.2">
      <c r="A12" s="29" t="s">
        <v>699</v>
      </c>
      <c r="B12" s="100">
        <v>105432</v>
      </c>
      <c r="C12" s="100">
        <v>129200</v>
      </c>
      <c r="D12" s="100">
        <v>643</v>
      </c>
      <c r="E12" s="100">
        <v>705</v>
      </c>
      <c r="F12" s="100">
        <v>106074</v>
      </c>
      <c r="G12" s="100">
        <v>129906</v>
      </c>
    </row>
    <row r="13" spans="1:7" ht="15.75" customHeight="1" x14ac:dyDescent="0.2">
      <c r="A13" s="14" t="s">
        <v>700</v>
      </c>
      <c r="B13" s="75">
        <v>1518</v>
      </c>
      <c r="C13" s="75">
        <v>2159</v>
      </c>
      <c r="D13" s="75">
        <v>33</v>
      </c>
      <c r="E13" s="75">
        <v>42</v>
      </c>
      <c r="F13" s="75">
        <v>1552</v>
      </c>
      <c r="G13" s="75">
        <v>2201</v>
      </c>
    </row>
    <row r="14" spans="1:7" ht="15.75" customHeight="1" x14ac:dyDescent="0.2">
      <c r="A14" s="14" t="s">
        <v>701</v>
      </c>
      <c r="B14" s="75">
        <v>652015</v>
      </c>
      <c r="C14" s="75">
        <v>852246</v>
      </c>
      <c r="D14" s="75">
        <v>2296</v>
      </c>
      <c r="E14" s="75">
        <v>3063</v>
      </c>
      <c r="F14" s="75">
        <v>654311</v>
      </c>
      <c r="G14" s="75">
        <v>855309</v>
      </c>
    </row>
    <row r="15" spans="1:7" ht="15.75" customHeight="1" x14ac:dyDescent="0.2">
      <c r="A15" s="14" t="s">
        <v>702</v>
      </c>
      <c r="B15" s="75">
        <v>21855</v>
      </c>
      <c r="C15" s="75">
        <v>22460</v>
      </c>
      <c r="D15" s="75">
        <v>462</v>
      </c>
      <c r="E15" s="75">
        <v>462</v>
      </c>
      <c r="F15" s="75">
        <v>22317</v>
      </c>
      <c r="G15" s="75">
        <v>22921</v>
      </c>
    </row>
    <row r="16" spans="1:7" ht="15.75" customHeight="1" x14ac:dyDescent="0.2">
      <c r="A16" s="29" t="s">
        <v>703</v>
      </c>
      <c r="B16" s="100">
        <v>630159</v>
      </c>
      <c r="C16" s="100">
        <v>829786</v>
      </c>
      <c r="D16" s="100">
        <v>1835</v>
      </c>
      <c r="E16" s="100">
        <v>2602</v>
      </c>
      <c r="F16" s="100">
        <v>631994</v>
      </c>
      <c r="G16" s="100">
        <v>832388</v>
      </c>
    </row>
    <row r="17" spans="1:9" ht="15.75" customHeight="1" x14ac:dyDescent="0.2">
      <c r="A17" s="14" t="s">
        <v>704</v>
      </c>
      <c r="B17" s="75">
        <v>141460</v>
      </c>
      <c r="C17" s="75">
        <v>188080</v>
      </c>
      <c r="D17" s="75">
        <v>393</v>
      </c>
      <c r="E17" s="75">
        <v>586</v>
      </c>
      <c r="F17" s="75">
        <v>141852</v>
      </c>
      <c r="G17" s="75">
        <v>188665</v>
      </c>
    </row>
    <row r="18" spans="1:9" ht="15.75" customHeight="1" x14ac:dyDescent="0.2">
      <c r="A18" s="29" t="s">
        <v>705</v>
      </c>
      <c r="B18" s="100">
        <v>488700</v>
      </c>
      <c r="C18" s="100">
        <v>641706</v>
      </c>
      <c r="D18" s="100">
        <v>1442</v>
      </c>
      <c r="E18" s="100">
        <v>2016</v>
      </c>
      <c r="F18" s="100">
        <v>490142</v>
      </c>
      <c r="G18" s="100">
        <v>643722</v>
      </c>
    </row>
    <row r="20" spans="1:9" ht="15" customHeight="1" x14ac:dyDescent="0.2">
      <c r="A20" s="138" t="s">
        <v>706</v>
      </c>
      <c r="B20" s="134"/>
      <c r="C20" s="134"/>
      <c r="D20" s="134"/>
      <c r="E20" s="134"/>
      <c r="F20" s="134"/>
      <c r="G20" s="134"/>
    </row>
    <row r="22" spans="1:9" ht="15.75" customHeight="1" x14ac:dyDescent="0.2">
      <c r="A22" s="29" t="s">
        <v>707</v>
      </c>
    </row>
    <row r="23" spans="1:9" ht="19.5" customHeight="1" x14ac:dyDescent="0.2">
      <c r="A23" s="88" t="s">
        <v>708</v>
      </c>
      <c r="B23" s="88" t="s">
        <v>386</v>
      </c>
      <c r="C23" s="88" t="s">
        <v>387</v>
      </c>
      <c r="D23" s="88" t="s">
        <v>388</v>
      </c>
      <c r="E23" s="88" t="s">
        <v>389</v>
      </c>
      <c r="F23" s="88" t="s">
        <v>390</v>
      </c>
      <c r="G23" s="88" t="s">
        <v>437</v>
      </c>
      <c r="H23" s="88" t="s">
        <v>557</v>
      </c>
      <c r="I23" s="88" t="s">
        <v>709</v>
      </c>
    </row>
    <row r="24" spans="1:9" ht="15.75" customHeight="1" x14ac:dyDescent="0.2">
      <c r="A24" s="29" t="s">
        <v>615</v>
      </c>
      <c r="B24" s="6"/>
      <c r="C24" s="6"/>
      <c r="D24" s="6"/>
      <c r="E24" s="6"/>
      <c r="F24" s="6"/>
      <c r="G24" s="6"/>
      <c r="H24" s="6"/>
      <c r="I24" s="6"/>
    </row>
    <row r="25" spans="1:9" ht="15.75" customHeight="1" x14ac:dyDescent="0.2">
      <c r="A25" s="14" t="s">
        <v>710</v>
      </c>
      <c r="B25" s="75">
        <v>4580</v>
      </c>
      <c r="C25" s="75">
        <v>5250</v>
      </c>
      <c r="D25" s="75">
        <v>5371</v>
      </c>
      <c r="E25" s="75">
        <v>5915</v>
      </c>
      <c r="F25" s="75">
        <v>5432</v>
      </c>
      <c r="G25" s="75">
        <v>78883</v>
      </c>
      <c r="H25" s="75">
        <v>105432</v>
      </c>
      <c r="I25" s="75">
        <v>40346</v>
      </c>
    </row>
    <row r="26" spans="1:9" ht="15.75" customHeight="1" x14ac:dyDescent="0.2">
      <c r="A26" s="14" t="s">
        <v>711</v>
      </c>
      <c r="B26" s="75">
        <v>400</v>
      </c>
      <c r="C26" s="75">
        <v>50</v>
      </c>
      <c r="D26" s="75">
        <v>22</v>
      </c>
      <c r="E26" s="75">
        <v>17</v>
      </c>
      <c r="F26" s="75">
        <v>24</v>
      </c>
      <c r="G26" s="75">
        <v>130</v>
      </c>
      <c r="H26" s="75">
        <v>643</v>
      </c>
      <c r="I26" s="75">
        <v>532</v>
      </c>
    </row>
    <row r="27" spans="1:9" ht="15.75" customHeight="1" x14ac:dyDescent="0.2">
      <c r="A27" s="29" t="s">
        <v>619</v>
      </c>
      <c r="B27" s="100">
        <v>4980</v>
      </c>
      <c r="C27" s="100">
        <v>5300</v>
      </c>
      <c r="D27" s="100">
        <v>5392</v>
      </c>
      <c r="E27" s="100">
        <v>5932</v>
      </c>
      <c r="F27" s="100">
        <v>5457</v>
      </c>
      <c r="G27" s="100">
        <v>79014</v>
      </c>
      <c r="H27" s="100">
        <v>106074</v>
      </c>
      <c r="I27" s="100">
        <v>40878</v>
      </c>
    </row>
    <row r="28" spans="1:9" ht="15.75" customHeight="1" x14ac:dyDescent="0.2">
      <c r="A28" s="29" t="s">
        <v>617</v>
      </c>
      <c r="B28" s="6"/>
      <c r="C28" s="6"/>
      <c r="D28" s="6"/>
      <c r="E28" s="6"/>
      <c r="F28" s="6"/>
      <c r="G28" s="6"/>
      <c r="H28" s="6"/>
      <c r="I28" s="6"/>
    </row>
    <row r="29" spans="1:9" ht="15.75" customHeight="1" x14ac:dyDescent="0.2">
      <c r="A29" s="14" t="s">
        <v>710</v>
      </c>
      <c r="B29" s="75">
        <v>4741</v>
      </c>
      <c r="C29" s="75">
        <v>5503</v>
      </c>
      <c r="D29" s="75">
        <v>5646</v>
      </c>
      <c r="E29" s="75">
        <v>6247</v>
      </c>
      <c r="F29" s="75">
        <v>5746</v>
      </c>
      <c r="G29" s="75">
        <v>101318</v>
      </c>
      <c r="H29" s="75">
        <v>129200</v>
      </c>
      <c r="I29" s="75">
        <v>45531</v>
      </c>
    </row>
    <row r="30" spans="1:9" ht="15.75" customHeight="1" x14ac:dyDescent="0.2">
      <c r="A30" s="14" t="s">
        <v>711</v>
      </c>
      <c r="B30" s="75">
        <v>453</v>
      </c>
      <c r="C30" s="75">
        <v>59</v>
      </c>
      <c r="D30" s="75">
        <v>22</v>
      </c>
      <c r="E30" s="75">
        <v>17</v>
      </c>
      <c r="F30" s="75">
        <v>24</v>
      </c>
      <c r="G30" s="75">
        <v>130</v>
      </c>
      <c r="H30" s="75">
        <v>705</v>
      </c>
      <c r="I30" s="75">
        <v>590</v>
      </c>
    </row>
    <row r="31" spans="1:9" ht="15.75" customHeight="1" x14ac:dyDescent="0.2">
      <c r="A31" s="29" t="s">
        <v>619</v>
      </c>
      <c r="B31" s="100">
        <v>5194</v>
      </c>
      <c r="C31" s="100">
        <v>5562</v>
      </c>
      <c r="D31" s="100">
        <v>5667</v>
      </c>
      <c r="E31" s="100">
        <v>6264</v>
      </c>
      <c r="F31" s="100">
        <v>5770</v>
      </c>
      <c r="G31" s="100">
        <v>101448</v>
      </c>
      <c r="H31" s="100">
        <v>129906</v>
      </c>
      <c r="I31" s="100">
        <v>46122</v>
      </c>
    </row>
    <row r="33" spans="1:9" ht="15" customHeight="1" x14ac:dyDescent="0.2">
      <c r="A33" s="138" t="s">
        <v>712</v>
      </c>
      <c r="B33" s="134"/>
      <c r="C33" s="134"/>
      <c r="D33" s="134"/>
      <c r="E33" s="134"/>
      <c r="F33" s="134"/>
      <c r="G33" s="134"/>
      <c r="H33" s="134"/>
      <c r="I33" s="134"/>
    </row>
  </sheetData>
  <mergeCells count="4">
    <mergeCell ref="A20:G20"/>
    <mergeCell ref="A3:G3"/>
    <mergeCell ref="A33:I33"/>
    <mergeCell ref="A5:G5"/>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10</vt:i4>
      </vt:variant>
    </vt:vector>
  </HeadingPairs>
  <TitlesOfParts>
    <vt:vector size="10" baseType="lpstr">
      <vt:lpstr>Cover</vt:lpstr>
      <vt:lpstr>NAV Summary</vt:lpstr>
      <vt:lpstr>Assumptions &amp; Sources</vt:lpstr>
      <vt:lpstr>NAV Model 1P</vt:lpstr>
      <vt:lpstr>NAV Model 2P</vt:lpstr>
      <vt:lpstr>Sensitivities 1P</vt:lpstr>
      <vt:lpstr>Sensitivities 2P</vt:lpstr>
      <vt:lpstr>Model Inputs</vt:lpstr>
      <vt:lpstr>Reserves Data</vt:lpstr>
      <vt:lpstr>Cost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Chen</dc:creator>
  <cp:lastModifiedBy>Daniel Chen</cp:lastModifiedBy>
  <cp:revision>2</cp:revision>
  <dcterms:created xsi:type="dcterms:W3CDTF">2026-08-10T00:19:52Z</dcterms:created>
  <dcterms:modified xsi:type="dcterms:W3CDTF">2026-08-23T05:03:02Z</dcterms:modified>
  <dc:language>en-US</dc:language>
</cp:coreProperties>
</file>